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Drivers" sheetId="2" state="visible" r:id="rId4"/>
    <sheet name="Model" sheetId="3" state="visible" r:id="rId5"/>
    <sheet name="Levers" sheetId="4" state="visible" r:id="rId6"/>
    <sheet name="Scenarios" sheetId="5" state="visible" r:id="rId7"/>
    <sheet name="Admission Mix" sheetId="6" state="visible" r:id="rId8"/>
    <sheet name="Economic Impact" sheetId="7" state="visible" r:id="rId9"/>
    <sheet name="Checks" sheetId="8" state="visible" r:id="rId10"/>
    <sheet name="Sources &amp; Audit"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<sst xmlns="http://schemas.openxmlformats.org/spreadsheetml/2006/main" count="468" uniqueCount="390">
  <si>
    <t xml:space="preserve">NEOSHO SPACE MUSEUM · FEASIBILITY DRIVER MODEL</t>
  </si>
  <si>
    <t xml:space="preserve">LLM Squared · Decision Intelligence · August 2026 · companion to the Museum and Business Feasibility Studies</t>
  </si>
  <si>
    <t xml:space="preserve">How to use this workbook</t>
  </si>
  <si>
    <t xml:space="preserve">Change any BLUE cell on the Drivers tab and every result in the workbook recalculates: earned revenue, operating gap, coverage, break-even math, capital, and the sensitivity grids. Yellow-filled cells are the highest-impact levers to test first.</t>
  </si>
  <si>
    <t xml:space="preserve">Color key</t>
  </si>
  <si>
    <t xml:space="preserve">BLUE text = input you can change.  BLACK text = formula (do not overwrite).  GREEN text = value pulled from another tab.  YELLOW fill = key lever.</t>
  </si>
  <si>
    <t xml:space="preserve">Tabs</t>
  </si>
  <si>
    <t xml:space="preserve">Drivers = every assumption in one place.  Model = the annual operating model, break-even math, and capital build-up for both options.  Levers = one-way sensitivity grids (price ladder, attendance, dome attachment, cost control, support stack).  Scenarios = the low / base / high cases exactly as published in the studies.  Checks = pass/fail integrity tests; open it after any edit.  Admission Mix = the derivation of the $9.80 blended yield and what adult-only repricing is worth.  Economic Impact = the community return (NCTC visitor-spending model), live from the Drivers attendance.</t>
  </si>
  <si>
    <t xml:space="preserve">Example</t>
  </si>
  <si>
    <t xml:space="preserve">On the Admission Mix tab, change the posted adult price from $14.00 to $16.00: blended yield rises to $10.60 and the museum-only gap improves by about $23,200 (adult tier only). Repricing every tier proportionally would be worth about $41,000; the Levers price ladder shows that proportional curve.</t>
  </si>
  <si>
    <t xml:space="preserve">Conventions</t>
  </si>
  <si>
    <t xml:space="preserve">All dollar figures are steady-state Year 3+ (the $180K NABIFI lease included) unless labeled as the Years 1-2 donated window (~$1.20M / ~$1.60M). Attendance means onsite visits, not unique people. Planetarium users are a subset of total visits, never double-counted. Base values reproduce the published studies; sources are cited in each study's source register.</t>
  </si>
  <si>
    <t xml:space="preserve">What this is not</t>
  </si>
  <si>
    <t xml:space="preserve">A budget or a promise. Class 4 planning ranges; board decisions should survive the Low scenario on the Scenarios tab.</t>
  </si>
  <si>
    <t xml:space="preserve">DRIVERS · every assumption in one place</t>
  </si>
  <si>
    <t xml:space="preserve">Blue = editable input · Yellow = key lever · Black = calculated</t>
  </si>
  <si>
    <t xml:space="preserve">ATTENDANCE · STABILIZED ANNUAL VISITS BY SEGMENT</t>
  </si>
  <si>
    <t xml:space="preserve">Driver</t>
  </si>
  <si>
    <t xml:space="preserve">Museum only</t>
  </si>
  <si>
    <t xml:space="preserve">With planetarium</t>
  </si>
  <si>
    <t xml:space="preserve">Note</t>
  </si>
  <si>
    <t xml:space="preserve">K-12 field trips</t>
  </si>
  <si>
    <t xml:space="preserve">Base = 4.1% / 5.3% of ~208,400 public-school students in the 21-county ring. Pre-sell via district LOIs.</t>
  </si>
  <si>
    <t xml:space="preserve">College, scout and youth groups</t>
  </si>
  <si>
    <t xml:space="preserve">Programmatic capture of a ~103,000-student college corridor.</t>
  </si>
  <si>
    <t xml:space="preserve">Independent residents</t>
  </si>
  <si>
    <t xml:space="preserve">Largest single segment; driven by rotation and repeat programming.</t>
  </si>
  <si>
    <t xml:space="preserve">Destination, tourist and festival visitors</t>
  </si>
  <si>
    <t xml:space="preserve">Excludes any assumed Branson / Route 66 / signage lift.</t>
  </si>
  <si>
    <t xml:space="preserve">Private events and outreach-linked</t>
  </si>
  <si>
    <t xml:space="preserve">Rentals, after-hours, portable-dome conversions.</t>
  </si>
  <si>
    <t xml:space="preserve">Total annual visits</t>
  </si>
  <si>
    <t xml:space="preserve">Published base cases: 29,000 and 41,000.</t>
  </si>
  <si>
    <t xml:space="preserve">PRICING AND YIELD</t>
  </si>
  <si>
    <t xml:space="preserve">Posted adult price</t>
  </si>
  <si>
    <t xml:space="preserve">Adopted 8 Aug 2026. Combos $22/$16/$20; senior/military museum $12 assumed (open item).</t>
  </si>
  <si>
    <t xml:space="preserve">Posted student price (K-12 + college w/ ID)</t>
  </si>
  <si>
    <t xml:space="preserve">Protect school access here; underwrite rather than discount further.</t>
  </si>
  <si>
    <t xml:space="preserve">Blended yield factor (blended ÷ posted adult; member visits at $0)</t>
  </si>
  <si>
    <t xml:space="preserve">DERIVED from the Admission Mix tab: change tier prices and shares there; every tier propagates independently. At baseline mix this equals 70.0%.</t>
  </si>
  <si>
    <t xml:space="preserve">Realized museum yield per visit</t>
  </si>
  <si>
    <t xml:space="preserve">The single number admissions revenue rides on.</t>
  </si>
  <si>
    <t xml:space="preserve">Combo increment per participant (combo minus museum price)</t>
  </si>
  <si>
    <t xml:space="preserve">$22-$14 adult; $16-$8 student; $20-$12 senior: $8.00 every tier</t>
  </si>
  <si>
    <t xml:space="preserve">Combo uptake rate (share of visits buying the combo)</t>
  </si>
  <si>
    <t xml:space="preserve">70% of all visits include a show in the base case.</t>
  </si>
  <si>
    <t xml:space="preserve">Realized combo increment</t>
  </si>
  <si>
    <t xml:space="preserve">Blended across adult / group / bundle pricing.</t>
  </si>
  <si>
    <t xml:space="preserve">OTHER EARNED REVENUE</t>
  </si>
  <si>
    <t xml:space="preserve">Retail net contribution per visit</t>
  </si>
  <si>
    <t xml:space="preserve">After cost of goods.</t>
  </si>
  <si>
    <t xml:space="preserve">Programs and camps (net, annual)</t>
  </si>
  <si>
    <t xml:space="preserve">Staffing sits in operating cost.</t>
  </si>
  <si>
    <t xml:space="preserve">Memberships (annual)</t>
  </si>
  <si>
    <t xml:space="preserve">Requires launch conversion and &gt;60% renewal.</t>
  </si>
  <si>
    <t xml:space="preserve">Rentals and special events (net, annual)</t>
  </si>
  <si>
    <t xml:space="preserve">Net contribution, not gross billings.</t>
  </si>
  <si>
    <t xml:space="preserve">OPERATING COST · STABILIZED YEAR</t>
  </si>
  <si>
    <t xml:space="preserve">Personnel + payroll burden</t>
  </si>
  <si>
    <t xml:space="preserve">Adopted staffing plan (sponsor Employee &amp; Payroll table, lean case: ~13 heads, ~$597K salaries + ~22% payroll burden); ~16 heads with dome. The largest single lever on the cost side.</t>
  </si>
  <si>
    <t xml:space="preserve">Occupancy / utilities / janitorial + NABIFI lease (steady state)</t>
  </si>
  <si>
    <t xml:space="preserve">Includes $180K/yr lease (~$15K/mo) from Year 3. Years 1-2: lease donated by NABIFI, which also covers property taxes, building insurance and general maintenance (~$30K within these lines). Set back to 140K/190K and deduct ~$30K to model the donated window.</t>
  </si>
  <si>
    <t xml:space="preserve">Insurance / security / safety</t>
  </si>
  <si>
    <t xml:space="preserve">High-value collection on display.</t>
  </si>
  <si>
    <t xml:space="preserve">Exhibits / collections care</t>
  </si>
  <si>
    <t xml:space="preserve">Rotation and conservation. Defend this line in downturns.</t>
  </si>
  <si>
    <t xml:space="preserve">Marketing / sales</t>
  </si>
  <si>
    <t xml:space="preserve">IT / ticketing / systems</t>
  </si>
  <si>
    <t xml:space="preserve">Program / retail direct cost</t>
  </si>
  <si>
    <t xml:space="preserve">Administration / professional</t>
  </si>
  <si>
    <t xml:space="preserve">General operating reserve</t>
  </si>
  <si>
    <t xml:space="preserve">Dome content / maintenance / refresh reserve</t>
  </si>
  <si>
    <t xml:space="preserve">Show licensing, service, and ~$35-50K/yr toward the 10-15 year system refresh.</t>
  </si>
  <si>
    <t xml:space="preserve">Total operating expense</t>
  </si>
  <si>
    <t xml:space="preserve">Published steady-state bases: $1.41M and $1.81M. Donated-window Years 1-2: ~$1.20M / ~$1.595M.</t>
  </si>
  <si>
    <t xml:space="preserve">ANNUAL SUPPORT STACK · TARGET / ILLUSTRATIVE (NOT YET PLEDGED OR APPROPRIATED)</t>
  </si>
  <si>
    <t xml:space="preserve">Local public mechanisms (hotel-motel, CID, city/county)</t>
  </si>
  <si>
    <t xml:space="preserve">Realistic range $150-300K; requires local political action.</t>
  </si>
  <si>
    <t xml:space="preserve">Federal / state program grants (IMLS, NASA, MAC, MHC)</t>
  </si>
  <si>
    <t xml:space="preserve">Episodic; $0 in bad years. Never budget as certain.</t>
  </si>
  <si>
    <t xml:space="preserve">Corporate sponsorship and underwriting</t>
  </si>
  <si>
    <t xml:space="preserve">Range $100-175K.</t>
  </si>
  <si>
    <t xml:space="preserve">Annual giving, events and individual donors</t>
  </si>
  <si>
    <t xml:space="preserve">Range $150-275K; must exist in every scenario.</t>
  </si>
  <si>
    <t xml:space="preserve">Endowment draw</t>
  </si>
  <si>
    <t xml:space="preserve">Later years; see spending rate below.</t>
  </si>
  <si>
    <t xml:space="preserve">Total target annual support (illustrative)</t>
  </si>
  <si>
    <t xml:space="preserve">A plan, not a commitment: no appropriation, pledge or agreement is documented yet. Compare to the gap on the Model tab.</t>
  </si>
  <si>
    <t xml:space="preserve">Endowment spending rate</t>
  </si>
  <si>
    <t xml:space="preserve">Used for endowment-equivalent math.</t>
  </si>
  <si>
    <t xml:space="preserve">CAPITAL INPUTS · 2026 BASIS</t>
  </si>
  <si>
    <t xml:space="preserve">Gross building area (sf)</t>
  </si>
  <si>
    <t xml:space="preserve">Measured 27-28 Aug 2026: main building 13,500 gross sf, plus a second building of 2,200 gross sf used as the collections annex (priced on row 60). Campus 15,700 gsf. Excludes the planetarium exterior addition (~3,000 gross sf).</t>
  </si>
  <si>
    <t xml:space="preserve">Renovation cost per gross sf</t>
  </si>
  <si>
    <t xml:space="preserve">Sound donated shell; $500-1,200/sf if new-build or shell disappoints.</t>
  </si>
  <si>
    <t xml:space="preserve">Net exhibit area (sf)</t>
  </si>
  <si>
    <t xml:space="preserve">Net gallery area. 13,500 gross / 1.305 = 10,345 net, less 5,644 nsf of support with collections storage in the second building and a 1,000 nsf office core. See Museum Study 7.1; sensitivity 5,240 at a 1.24 ratio, 3,420 at 1.49.</t>
  </si>
  <si>
    <t xml:space="preserve">Exhibit design / fabrication per net sf</t>
  </si>
  <si>
    <t xml:space="preserve">Raised from $350: a compact gallery suite carries higher fabrication density per foot. Benchmarks $200-350 interpretive, $350-550 hands-on, $500-1,000+ high-interactive.</t>
  </si>
  <si>
    <t xml:space="preserve">Collection relocation, FF&amp;E, IT + second-building annex</t>
  </si>
  <si>
    <t xml:space="preserve">$600,000 artifact-grade transport, mounts, cases and core IT; $550,000 fit-out of the 2,200 gsf second building at $250/gsf (climate, security, fire, loading); $250,000 high-density collections storage equipment.</t>
  </si>
  <si>
    <t xml:space="preserve">Soft cost % of hard cost</t>
  </si>
  <si>
    <t xml:space="preserve">Contingency % of hard + soft</t>
  </si>
  <si>
    <t xml:space="preserve">Pre-opening / opening working capital (combined line)</t>
  </si>
  <si>
    <t xml:space="preserve">The 12-month liquidity gate at the adopted staffing plan implies ~$1.22M at opening; the campaign should name the ~$0.25M above this line as a liquidity backstop (see Checks).</t>
  </si>
  <si>
    <t xml:space="preserve">Planetarium capital increment</t>
  </si>
  <si>
    <t xml:space="preserve">40-ft dome seating ~100 in a ~3,000 gsf exterior addition. 100 seats clears a two-bus school booking in one show; a 30-ft dome at 55-60 seats needs two. Adopted base $8.0M against the UAF as-built $9.5M; vendor guidance pending may price below.</t>
  </si>
  <si>
    <t xml:space="preserve">Liquidity backstop to meet the 12-month gate</t>
  </si>
  <si>
    <t xml:space="preserve">Raises opening cash toward ~$1.22M at the adopted staffing plan.</t>
  </si>
  <si>
    <t xml:space="preserve">SCHOOL-GROUP ECONOMICS (used by the Levers K-12 grid; school groups do not earn the all-visitor blended yield)</t>
  </si>
  <si>
    <t xml:space="preserve">Realized school-group admission per K-12 visit</t>
  </si>
  <si>
    <t xml:space="preserve">Underwritten $6-7 band midpoint; posted student price is $8.</t>
  </si>
  <si>
    <t xml:space="preserve">School-group retail net per visit</t>
  </si>
  <si>
    <t xml:space="preserve">Below the all-visitor $1.50; school groups buy less per capita.</t>
  </si>
  <si>
    <t xml:space="preserve">MODEL · stabilized-year operating model, break-even math, capital</t>
  </si>
  <si>
    <t xml:space="preserve">All cells on this tab are formulas. Change inputs on the Drivers tab.</t>
  </si>
  <si>
    <t xml:space="preserve">EARNED REVENUE</t>
  </si>
  <si>
    <t xml:space="preserve">Museum admissions</t>
  </si>
  <si>
    <t xml:space="preserve">Visits x realized yield</t>
  </si>
  <si>
    <t xml:space="preserve">Planetarium add-on</t>
  </si>
  <si>
    <t xml:space="preserve">Visits x attachment x realized add-on</t>
  </si>
  <si>
    <t xml:space="preserve">Retail net contribution</t>
  </si>
  <si>
    <t xml:space="preserve">Programs and camps</t>
  </si>
  <si>
    <t xml:space="preserve">Memberships</t>
  </si>
  <si>
    <t xml:space="preserve">Rentals and special events</t>
  </si>
  <si>
    <t xml:space="preserve">TOTAL EARNED REVENUE</t>
  </si>
  <si>
    <t xml:space="preserve">THE GAP</t>
  </si>
  <si>
    <t xml:space="preserve">REQUIRED ANNUAL SUPPORT (GAP)</t>
  </si>
  <si>
    <t xml:space="preserve">The fundraising product</t>
  </si>
  <si>
    <t xml:space="preserve">Earned-revenue coverage</t>
  </si>
  <si>
    <t xml:space="preserve">Target annual support (illustrative, from Drivers)</t>
  </si>
  <si>
    <t xml:space="preserve">Surplus / (unfunded shortfall) after target support</t>
  </si>
  <si>
    <t xml:space="preserve">Illustrative until appropriations and pledges are documented. Operating gap (row 18) is the economic measure; this row nets the target plan against it.</t>
  </si>
  <si>
    <t xml:space="preserve">Endowment equivalent of full gap</t>
  </si>
  <si>
    <t xml:space="preserve">Corpus needed to fund the gap at the spending rate</t>
  </si>
  <si>
    <t xml:space="preserve">BREAK-EVEN MATH</t>
  </si>
  <si>
    <t xml:space="preserve">Earned revenue excluding admissions</t>
  </si>
  <si>
    <t xml:space="preserve">Amount admissions must cover to break even</t>
  </si>
  <si>
    <t xml:space="preserve">Required realized yield per visit</t>
  </si>
  <si>
    <t xml:space="preserve">Implied posted adult price</t>
  </si>
  <si>
    <t xml:space="preserve">No regional comparable sustains this</t>
  </si>
  <si>
    <t xml:space="preserve">Break-even attendance, CONSERVATIVE (other earned revenue held at base dollars)</t>
  </si>
  <si>
    <t xml:space="preserve">Programs, memberships and rentals stay at base; admissions and retail scale. The operating break-even this study reports.</t>
  </si>
  <si>
    <t xml:space="preserve">Break-even attendance, FULLY PROPORTIONAL (all earned revenue scales)</t>
  </si>
  <si>
    <t xml:space="preserve">Assumes programs, memberships and rentals grow smoothly with visitation (the website calculator's convention). Optimistic until demonstrated.</t>
  </si>
  <si>
    <t xml:space="preserve">CAPITAL BUILD-UP</t>
  </si>
  <si>
    <t xml:space="preserve">Building renovation</t>
  </si>
  <si>
    <t xml:space="preserve">Gross sf x $/sf</t>
  </si>
  <si>
    <t xml:space="preserve">Exhibit design / fabrication</t>
  </si>
  <si>
    <t xml:space="preserve">Net sf x $/sf</t>
  </si>
  <si>
    <t xml:space="preserve">Collection relocation, FF&amp;E, IT</t>
  </si>
  <si>
    <t xml:space="preserve">Planetarium increment</t>
  </si>
  <si>
    <t xml:space="preserve">All-in increment (UAF as-built comp); soft/contingency not re-applied</t>
  </si>
  <si>
    <t xml:space="preserve">Hard cost subtotal (excl. dome increment)</t>
  </si>
  <si>
    <t xml:space="preserve">Soft costs</t>
  </si>
  <si>
    <t xml:space="preserve">Contingency</t>
  </si>
  <si>
    <t xml:space="preserve">Pre-opening / working capital</t>
  </si>
  <si>
    <t xml:space="preserve">TOTAL CAPITAL</t>
  </si>
  <si>
    <t xml:space="preserve">Published bases: ~$16.8M and ~$24.8M</t>
  </si>
  <si>
    <t xml:space="preserve">Liquidity backstop (12-month gate)</t>
  </si>
  <si>
    <t xml:space="preserve">CAMPAIGN REQUIREMENT INCL. LIQUIDITY GATE</t>
  </si>
  <si>
    <t xml:space="preserve">Base capital plus the named backstop: $17.09M museum-only / $25.09M combined at baseline.</t>
  </si>
  <si>
    <t xml:space="preserve">LEVERS · one-way sensitivity grids</t>
  </si>
  <si>
    <t xml:space="preserve">Each grid varies ONE driver and holds everything else at Drivers-tab values. Black cells are formulas.</t>
  </si>
  <si>
    <t xml:space="preserve">1 · POSTED ADULT PRICE LADDER (museum-only gap and dome gap)</t>
  </si>
  <si>
    <t xml:space="preserve">Realized yield per visit</t>
  </si>
  <si>
    <t xml:space="preserve">Museum-only earned revenue</t>
  </si>
  <si>
    <t xml:space="preserve">Museum-only gap</t>
  </si>
  <si>
    <t xml:space="preserve">With-planetarium gap</t>
  </si>
  <si>
    <t xml:space="preserve">Reading: the ladder reprices ALL tiers proportionally (yield factor held at the current mix): roughly $20K of gap relief per $1 at museum base attendance, $29K with the dome. An adult-only $1 change is worth about $11.6K (40% share); see grid 5.</t>
  </si>
  <si>
    <t xml:space="preserve">2 · TOTAL ATTENDANCE (multiplier on all segments; admissions + retail scale, other earned fixed)</t>
  </si>
  <si>
    <t xml:space="preserve">Attendance multiplier</t>
  </si>
  <si>
    <t xml:space="preserve">Museum-only visits</t>
  </si>
  <si>
    <t xml:space="preserve">With-planetarium visits</t>
  </si>
  <si>
    <t xml:space="preserve">Reading: every 1,000 additional visits relieve the museum-only gap by about $11,300.</t>
  </si>
  <si>
    <t xml:space="preserve">3 · DOME ATTACHMENT RATE (with-planetarium case)</t>
  </si>
  <si>
    <t xml:space="preserve">Attachment rate</t>
  </si>
  <si>
    <t xml:space="preserve">Dome add-on revenue</t>
  </si>
  <si>
    <t xml:space="preserve">4 · PERSONNEL COST CONTROL (museum-only)</t>
  </si>
  <si>
    <t xml:space="preserve">Personnel multiplier</t>
  </si>
  <si>
    <t xml:space="preserve">Personnel cost</t>
  </si>
  <si>
    <t xml:space="preserve">5 · WHAT MOVES THE ECONOMICS MOST (single changes, museum-only base; the last row reduces the UNFUNDED REQUIREMENT, not the operating gap)</t>
  </si>
  <si>
    <t xml:space="preserve">Lever</t>
  </si>
  <si>
    <t xml:space="preserve">Change tested</t>
  </si>
  <si>
    <t xml:space="preserve">Gap impact</t>
  </si>
  <si>
    <t xml:space="preserve">+$2.00 adult-only (to $16)</t>
  </si>
  <si>
    <t xml:space="preserve">Total attendance</t>
  </si>
  <si>
    <t xml:space="preserve">+5,000 visits</t>
  </si>
  <si>
    <t xml:space="preserve">K-12 program doubles (school-group economics)</t>
  </si>
  <si>
    <t xml:space="preserve">+8,500 school visits</t>
  </si>
  <si>
    <t xml:space="preserve">-10%</t>
  </si>
  <si>
    <t xml:space="preserve">Marketing cut (false economy)</t>
  </si>
  <si>
    <t xml:space="preserve">-50% (accounting effect only)</t>
  </si>
  <si>
    <t xml:space="preserve">Memberships program doubles</t>
  </si>
  <si>
    <t xml:space="preserve">+$65,000</t>
  </si>
  <si>
    <t xml:space="preserve">Local public mechanism enacted (reduces unfunded requirement)</t>
  </si>
  <si>
    <t xml:space="preserve">+$225,000 secured</t>
  </si>
  <si>
    <t xml:space="preserve">Negative = gap shrinks. The marketing row shows only the direct accounting effect of the cut; the attendance that spending buys is NOT modeled here. Treat marketing cuts as a narrative risk pending a sourced demand-response estimate.</t>
  </si>
  <si>
    <t xml:space="preserve">SCENARIOS · low / base / high, as published</t>
  </si>
  <si>
    <t xml:space="preserve">Attendance and opex are inputs (blue); everything else recalculates from the Drivers tab. Matches the studies' scenario tables.</t>
  </si>
  <si>
    <t xml:space="preserve">Museum LOW</t>
  </si>
  <si>
    <t xml:space="preserve">Museum BASE</t>
  </si>
  <si>
    <t xml:space="preserve">Museum HIGH</t>
  </si>
  <si>
    <t xml:space="preserve">Dome LOW</t>
  </si>
  <si>
    <t xml:space="preserve">Dome BASE</t>
  </si>
  <si>
    <t xml:space="preserve">Dome HIGH</t>
  </si>
  <si>
    <t xml:space="preserve">Attendance</t>
  </si>
  <si>
    <t xml:space="preserve">Operating expense</t>
  </si>
  <si>
    <t xml:space="preserve">Total earned revenue</t>
  </si>
  <si>
    <t xml:space="preserve">Required annual support (gap)</t>
  </si>
  <si>
    <t xml:space="preserve">Earned coverage</t>
  </si>
  <si>
    <t xml:space="preserve">Target support (illustrative, Drivers)</t>
  </si>
  <si>
    <t xml:space="preserve">Surplus / (shortfall)</t>
  </si>
  <si>
    <t xml:space="preserve">Board rule: decisions must survive the low case. High cases are CAPACITY ceilings at 2.32 annual visits per gross building sf (Armstrong, the top of the comparables band), applied to 15,500 gsf and to 18,500 gsf with the dome addition.</t>
  </si>
  <si>
    <t xml:space="preserve">Note: on this tab, programs, memberships and rentals scale proportionally with attendance (matching the published scenario tables). The Model tab's break-even math instead holds them at base; both conventions are stated where used.</t>
  </si>
  <si>
    <t xml:space="preserve">ADMISSION MIX · where the $9.80 blended yield comes from</t>
  </si>
  <si>
    <t xml:space="preserve">Edit the blue mix shares and prices; the blended yield recomputes. Shares must sum to 100%.</t>
  </si>
  <si>
    <t xml:space="preserve">Ticket tier</t>
  </si>
  <si>
    <t xml:space="preserve">Share of visits</t>
  </si>
  <si>
    <t xml:space="preserve">Realized price</t>
  </si>
  <si>
    <t xml:space="preserve">Contribution</t>
  </si>
  <si>
    <t xml:space="preserve">Adult, full posted price</t>
  </si>
  <si>
    <t xml:space="preserve">Posted adult; the price the $12/$14/$16 survey tests</t>
  </si>
  <si>
    <t xml:space="preserve">Student / school / college</t>
  </si>
  <si>
    <t xml:space="preserve">Posted $8; pre-booked school groups may be underwritten to $6-7</t>
  </si>
  <si>
    <t xml:space="preserve">Senior / veteran</t>
  </si>
  <si>
    <t xml:space="preserve">Assumed adult − $2; single-attraction senior/military price is an open item</t>
  </si>
  <si>
    <t xml:space="preserve">Children under 5 (free)</t>
  </si>
  <si>
    <t xml:space="preserve">Comps, promos, access programs</t>
  </si>
  <si>
    <t xml:space="preserve">Underwritten, not discounted</t>
  </si>
  <si>
    <t xml:space="preserve">Member visits (allocated value)</t>
  </si>
  <si>
    <t xml:space="preserve">Member visits carry $0 admission yield; membership revenue is counted once, in other earned revenue</t>
  </si>
  <si>
    <t xml:space="preserve">TOTAL / BLENDED REALIZED YIELD</t>
  </si>
  <si>
    <t xml:space="preserve">At $14 posted adult this mix yields exactly $9.80, the model's blended input. This cell now DRIVES the Model via the yield factor below.</t>
  </si>
  <si>
    <t xml:space="preserve">Implied yield factor (blended ÷ posted adult)</t>
  </si>
  <si>
    <t xml:space="preserve">WHAT ADULT-ONLY REPRICING IS WORTH</t>
  </si>
  <si>
    <t xml:space="preserve">Blended yield if only adult tier moves to $16</t>
  </si>
  <si>
    <t xml:space="preserve">Annual gap relief at base attendance (adult-only +$2)</t>
  </si>
  <si>
    <t xml:space="preserve">~$23K for a $2 adult-only move; the blended ladder on Levers assumes all tiers scale. Demand response is the open question either way.</t>
  </si>
  <si>
    <t xml:space="preserve">ECONOMIC IMPACT · community return, live from this workbook’s attendance</t>
  </si>
  <si>
    <t xml:space="preserve">Source: Space Museum Economic Impact Report.xlsx (Pete Hall, Newton County Tourism Council), revision received 23 Aug 2026. Blue = value carried from the source workbook · Green = link to another tab · Black = calculated. This is visitor spending in the community, NOT museum revenue: none of it funds the operating gap.</t>
  </si>
  <si>
    <t xml:space="preserve">1 · THE SOURCE MODEL AS STATED (45,768-VISIT BASIS, WITH-PLANETARIUM CASE)</t>
  </si>
  <si>
    <t xml:space="preserve">Measure</t>
  </si>
  <si>
    <t xml:space="preserve">As stated</t>
  </si>
  <si>
    <t xml:space="preserve">of which planetarium</t>
  </si>
  <si>
    <t xml:space="preserve">Annual visits (model basis)</t>
  </si>
  <si>
    <t xml:space="preserve">Five-segment capture of a 2.98M gross drive market (0-30mi 6.5% / 31-70 1.5% / 71-120 0.35% / schools 2.0% / tourists-in-market 25%). Planetarium line explicit at $10.00/participating visit, so the run is the with-planetarium case.</t>
  </si>
  <si>
    <t xml:space="preserve">Total annual economic impact (incl. tax)</t>
  </si>
  <si>
    <t xml:space="preserve">Rev. Aug 2026 adds Gift Shop ($72,494) and Planetarium ($86,873) vs the $2.33M quoted 19 Aug; the seven original categories match to the dollar.</t>
  </si>
  <si>
    <t xml:space="preserve">Local business revenue (net of tax)</t>
  </si>
  <si>
    <t xml:space="preserve">By segment: tourists-in-market 47%, secondary 21%, tertiary 16%, primary 8%, schools 7%. ~76% lands outside the museum’s own gate.</t>
  </si>
  <si>
    <t xml:space="preserve">Tax receipts, all levels</t>
  </si>
  <si>
    <t xml:space="preserve">State $96,235 (46.1%) / city $68,332 (32.8%) / county $37,013 (17.7%) / lodging $7,043 (3.4%).</t>
  </si>
  <si>
    <t xml:space="preserve">Local tax (city + county + lodging)</t>
  </si>
  <si>
    <t xml:space="preserve">53.9% of all tax receipts stays local.</t>
  </si>
  <si>
    <t xml:space="preserve">2 · PER-VISIT SPENDING RATES DERIVED FROM THE SOURCE MODEL</t>
  </si>
  <si>
    <t xml:space="preserve">Rate ($ per visit)</t>
  </si>
  <si>
    <t xml:space="preserve">Museum only (excl. planetarium)</t>
  </si>
  <si>
    <t xml:space="preserve">Total impact</t>
  </si>
  <si>
    <t xml:space="preserve">Museum-only excludes the planetarium spending column so each option is priced on its own physical scope ($52.43 vs $54.33 total).</t>
  </si>
  <si>
    <t xml:space="preserve">Local business revenue</t>
  </si>
  <si>
    <t xml:space="preserve">Tax receipts</t>
  </si>
  <si>
    <t xml:space="preserve">Local tax</t>
  </si>
  <si>
    <t xml:space="preserve">3 · LIVE RESULTS AT THIS WORKBOOK’S ATTENDANCE (links to the Drivers tab)</t>
  </si>
  <si>
    <t xml:space="preserve">Annual visits (Drivers tab)</t>
  </si>
  <si>
    <t xml:space="preserve">Change any attendance driver on the Drivers tab (or load a scenario) and every figure below moves with it.</t>
  </si>
  <si>
    <t xml:space="preserve">Total annual economic impact</t>
  </si>
  <si>
    <t xml:space="preserve">Local tax per $1 of the CID ask</t>
  </si>
  <si>
    <t xml:space="preserve">$0.31 museum-only / $0.45 with dome at the published bases; $0.50 as stated. The tax ratio alone cannot carry the CID case: lead with the payer-benefit argument (the business-revenue line lands on the blocks that would pay the assessment).</t>
  </si>
  <si>
    <t xml:space="preserve">CID annual ask</t>
  </si>
  <si>
    <t xml:space="preserve">Editable lever: the local operating mechanism carried in the funding plan.</t>
  </si>
  <si>
    <t xml:space="preserve">4 · RECONCILIATION STATUS</t>
  </si>
  <si>
    <t xml:space="preserve">Attendance basis</t>
  </si>
  <si>
    <t xml:space="preserve">RESOLVED</t>
  </si>
  <si>
    <t xml:space="preserve">Independent of the studies; quote one basis at a time, never a hybrid.</t>
  </si>
  <si>
    <t xml:space="preserve">Spend / overnight profile</t>
  </si>
  <si>
    <t xml:space="preserve">Per-participant spends; ~6% overnight; conservative day-trip profile.</t>
  </si>
  <si>
    <t xml:space="preserve">Non-local share</t>
  </si>
  <si>
    <t xml:space="preserve">Locals included but only a small share of impact.</t>
  </si>
  <si>
    <t xml:space="preserve">Tax split</t>
  </si>
  <si>
    <t xml:space="preserve">Explicit in the workbook; local share 53.9%.</t>
  </si>
  <si>
    <t xml:space="preserve">Operating-only</t>
  </si>
  <si>
    <t xml:space="preserve">No construction impact included.</t>
  </si>
  <si>
    <t xml:space="preserve">Model case (museum vs dome)</t>
  </si>
  <si>
    <t xml:space="preserve">RESOLVED (rev. Aug 2026)</t>
  </si>
  <si>
    <t xml:space="preserve">Planetarium line explicit; museum-only view derived here by excluding that column.</t>
  </si>
  <si>
    <t xml:space="preserve">IMPLAN multipliers</t>
  </si>
  <si>
    <t xml:space="preserve">OPEN with Pete Hall</t>
  </si>
  <si>
    <t xml:space="preserve">Workbook computes direct spending; if multipliers were intended, all figures here are a conservative floor.</t>
  </si>
  <si>
    <t xml:space="preserve">CHECKS · integrity tests. STRUCTURAL checks must always pass; BASELINE checks pass only at the published baseline inputs.</t>
  </si>
  <si>
    <t xml:space="preserve">Check</t>
  </si>
  <si>
    <t xml:space="preserve">Status</t>
  </si>
  <si>
    <t xml:space="preserve">Detail</t>
  </si>
  <si>
    <t xml:space="preserve">STRUCTURAL · Visitor mix sums to 100%</t>
  </si>
  <si>
    <t xml:space="preserve">Admission Mix shares must total exactly 100%.</t>
  </si>
  <si>
    <t xml:space="preserve">STRUCTURAL · Model yield ties to Admission Mix</t>
  </si>
  <si>
    <t xml:space="preserve">The Model uses the mix-derived blended yield.</t>
  </si>
  <si>
    <t xml:space="preserve">STRUCTURAL · Gap arithmetic ties (museum)</t>
  </si>
  <si>
    <t xml:space="preserve">Gap = opex minus earned.</t>
  </si>
  <si>
    <t xml:space="preserve">STRUCTURAL · Gap arithmetic ties (dome)</t>
  </si>
  <si>
    <t xml:space="preserve">STRUCTURAL · Capital increment applied after contingency</t>
  </si>
  <si>
    <t xml:space="preserve">No soft cost or contingency re-applied to the dome increment.</t>
  </si>
  <si>
    <t xml:space="preserve">STRUCTURAL · No negative attendance inputs</t>
  </si>
  <si>
    <t xml:space="preserve">STRUCTURAL · No negative prices or costs</t>
  </si>
  <si>
    <t xml:space="preserve">BASELINE · Blended yield $9.80</t>
  </si>
  <si>
    <t xml:space="preserve">BASELINE · Earned $477,700 / $928,150</t>
  </si>
  <si>
    <t xml:space="preserve">BASELINE · Gap $932,300 / $881,850</t>
  </si>
  <si>
    <t xml:space="preserve">BASELINE · Capital $9,901,000 / $17,901,000</t>
  </si>
  <si>
    <t xml:space="preserve">BASELINE · Break-even ~111,504 conservative / ~85,598 proportional</t>
  </si>
  <si>
    <t xml:space="preserve">NOTE · Liquidity gate</t>
  </si>
  <si>
    <t xml:space="preserve">BASELINE · Campaign requirement $10,151,000 / $18,151,000</t>
  </si>
  <si>
    <t xml:space="preserve">STRUCTURAL · Economic Impact rates tie to source totals</t>
  </si>
  <si>
    <t xml:space="preserve">With-dome rate × 45,768-visit basis must reproduce the as-stated total impact.</t>
  </si>
  <si>
    <t xml:space="preserve">BASELINE · Economic impact ~$1,520,391 / ~$2,227,341</t>
  </si>
  <si>
    <t xml:space="preserve">Live impact at the 29,000 / 41,000 base attendance (museum-only view excludes planetarium spending).</t>
  </si>
  <si>
    <t xml:space="preserve">Change log: v10, 28 August 2026. Campus measured: main building 13,500 gross sf (was 24,650 assumed), second building 2,200 gsf as the collections annex. Net gallery 4,700 (was 17,000 net exhibit) at a 1.305 grossing ratio. Exhibit fabrication $500/nsf (was $350). Annex fit-out and storage equipment priced inside row 60. Capital base $9.90M / $17.90M. High-case attendance held at capacity ceilings, 36,000 and 43,000.</t>
  </si>
  <si>
    <t xml:space="preserve">SOURCES &amp; AUDIT · key model inputs, their provenance, and the cells they drive. Full registers: study PDFs pages 19 (business) and 21-22 (museum).</t>
  </si>
  <si>
    <t xml:space="preserve">Input / claim</t>
  </si>
  <si>
    <t xml:space="preserve">Value at baseline</t>
  </si>
  <si>
    <t xml:space="preserve">Source</t>
  </si>
  <si>
    <t xml:space="preserve">URL</t>
  </si>
  <si>
    <t xml:space="preserve">Retrieved</t>
  </si>
  <si>
    <t xml:space="preserve">Drives cells</t>
  </si>
  <si>
    <t xml:space="preserve">Admission prices $14/$8/$12; combos $22/$16/$20</t>
  </si>
  <si>
    <t xml:space="preserve">adopted 8 Aug 2026</t>
  </si>
  <si>
    <t xml:space="preserve">Sponsor correspondence</t>
  </si>
  <si>
    <t xml:space="preserve">8 Aug 2026</t>
  </si>
  <si>
    <t xml:space="preserve">Adopted assumption</t>
  </si>
  <si>
    <t xml:space="preserve">Drivers B15:C16; Admission Mix C5:C7</t>
  </si>
  <si>
    <t xml:space="preserve">Visitor mix 40/30/15/10/5</t>
  </si>
  <si>
    <t xml:space="preserve">baseline</t>
  </si>
  <si>
    <t xml:space="preserve">LLM Squared model, sector norms</t>
  </si>
  <si>
    <t xml:space="preserve">Aug 2026</t>
  </si>
  <si>
    <t xml:space="preserve">Admission Mix B5:B10</t>
  </si>
  <si>
    <t xml:space="preserve">Attendance 29,000 / 41,000</t>
  </si>
  <si>
    <t xml:space="preserve">base cases</t>
  </si>
  <si>
    <t xml:space="preserve">Segment build-up, museum study S3</t>
  </si>
  <si>
    <t xml:space="preserve">Drivers B6:C10</t>
  </si>
  <si>
    <t xml:space="preserve">Personnel $730K / $910K</t>
  </si>
  <si>
    <t xml:space="preserve">lean staffing case</t>
  </si>
  <si>
    <t xml:space="preserve">Sponsor Employee &amp; Payroll + market-rate schedules</t>
  </si>
  <si>
    <t xml:space="preserve">13 Aug 2026</t>
  </si>
  <si>
    <t xml:space="preserve">Drivers B32:C32</t>
  </si>
  <si>
    <t xml:space="preserve">NABIFI lease $180K/yr, 2 years forgiven</t>
  </si>
  <si>
    <t xml:space="preserve">per sponsor</t>
  </si>
  <si>
    <t xml:space="preserve">Gated (unsigned)</t>
  </si>
  <si>
    <t xml:space="preserve">Drivers B33:C33</t>
  </si>
  <si>
    <t xml:space="preserve">21-county population 1,527,138</t>
  </si>
  <si>
    <t xml:space="preserve">Vintage 2025</t>
  </si>
  <si>
    <t xml:space="preserve">U.S. Census Bureau</t>
  </si>
  <si>
    <t xml:space="preserve">https://www.census.gov/data/datasets/time-series/demo/popest/2020s-counties-total.html</t>
  </si>
  <si>
    <t xml:space="preserve">Verified</t>
  </si>
  <si>
    <t xml:space="preserve">narrative</t>
  </si>
  <si>
    <t xml:space="preserve">School enrollment 208,420 + 30,256</t>
  </si>
  <si>
    <t xml:space="preserve">ACS 2024 B14003</t>
  </si>
  <si>
    <t xml:space="preserve">https://data.census.gov/table/ACSDT5Y2024.B14003</t>
  </si>
  <si>
    <t xml:space="preserve">Planetarium increment $8.0M (range 6.5-9.5M)</t>
  </si>
  <si>
    <t xml:space="preserve">UAF as-built $9.5M</t>
  </si>
  <si>
    <t xml:space="preserve">UAF Feb 2026 report; Alaska Public Media</t>
  </si>
  <si>
    <t xml:space="preserve">https://alaskapublic.org/news/2026-04-07/uaf-to-open-states-largest-planetarium-in-late-april-director-says</t>
  </si>
  <si>
    <t xml:space="preserve">Verified benchmark; adopted base</t>
  </si>
  <si>
    <t xml:space="preserve">Drivers C64</t>
  </si>
  <si>
    <t xml:space="preserve">Seiler/ZEISS system quotes $0.9-2.5M</t>
  </si>
  <si>
    <t xml:space="preserve">30-40 ft dome</t>
  </si>
  <si>
    <t xml:space="preserve">Vendor correspondence (K. Yager)</t>
  </si>
  <si>
    <t xml:space="preserve">Vendor quote (unbid)</t>
  </si>
  <si>
    <t xml:space="preserve">Joplin mean wage $50,650</t>
  </si>
  <si>
    <t xml:space="preserve">May 2023 OEWS</t>
  </si>
  <si>
    <t xml:space="preserve">U.S. BLS</t>
  </si>
  <si>
    <t xml:space="preserve">https://www.bls.gov/oes/2023/may/oes_27900.htm</t>
  </si>
  <si>
    <t xml:space="preserve">6A context</t>
  </si>
  <si>
    <t xml:space="preserve">Support stack $650K</t>
  </si>
  <si>
    <t xml:space="preserve">target plan</t>
  </si>
  <si>
    <t xml:space="preserve">LLM Squared funding plan</t>
  </si>
  <si>
    <t xml:space="preserve">Illustrative target, not pledged</t>
  </si>
  <si>
    <t xml:space="preserve">Drivers B46:C50</t>
  </si>
  <si>
    <t xml:space="preserve">Exhibit fabrication $350/sf; renovation $200/sf</t>
  </si>
  <si>
    <t xml:space="preserve">2026 tiers</t>
  </si>
  <si>
    <t xml:space="preserve">kubik maltbie; Skyhouse; Pivot</t>
  </si>
  <si>
    <t xml:space="preserve">Drivers B57,B59</t>
  </si>
  <si>
    <t xml:space="preserve">Liquidity backstop $250K</t>
  </si>
  <si>
    <t xml:space="preserve">12-month gate</t>
  </si>
  <si>
    <t xml:space="preserve">Business study 6A reconciliation</t>
  </si>
  <si>
    <t xml:space="preserve">Drivers B65</t>
  </si>
  <si>
    <t xml:space="preserve">Economic impact $2,486,365 @ 45,768 visits (rev. adds gift shop + planetarium)</t>
  </si>
  <si>
    <t xml:space="preserve">rev. Aug 2026</t>
  </si>
  <si>
    <t xml:space="preserve">Newton County Tourism Council (P. Hall), Space Museum Economic Impact Report.xlsx</t>
  </si>
  <si>
    <t xml:space="preserve">23 Aug 2026</t>
  </si>
  <si>
    <t xml:space="preserve">Independent model; direct spending (IMPLAN multiplier question open)</t>
  </si>
  <si>
    <t xml:space="preserve">Economic Impact B6:C10; live via Drivers B11:C11</t>
  </si>
</sst>
</file>

<file path=xl/styles.xml><?xml version="1.0" encoding="utf-8"?>
<styleSheet xmlns="http://schemas.openxmlformats.org/spreadsheetml/2006/main">
  <numFmts count="11">
    <numFmt numFmtId="164" formatCode="General"/>
    <numFmt numFmtId="165" formatCode="#,##0"/>
    <numFmt numFmtId="166" formatCode="\$#,##0.00"/>
    <numFmt numFmtId="167" formatCode="0.0%"/>
    <numFmt numFmtId="168" formatCode="\$#,##0;&quot;($&quot;#,##0\);\-"/>
    <numFmt numFmtId="169" formatCode="General"/>
    <numFmt numFmtId="170" formatCode="0.00\x"/>
    <numFmt numFmtId="171" formatCode="0.00%"/>
    <numFmt numFmtId="172" formatCode="\$#,##0"/>
    <numFmt numFmtId="173" formatCode="\$0.0000"/>
    <numFmt numFmtId="174" formatCode="\$0.00"/>
  </numFmts>
  <fonts count="18">
    <font>
      <sz val="11"/>
      <color theme="1"/>
      <name val="Calibri"/>
      <family val="2"/>
      <charset val="1"/>
    </font>
    <font>
      <sz val="10"/>
      <name val="Arial"/>
      <family val="0"/>
    </font>
    <font>
      <sz val="10"/>
      <name val="Arial"/>
      <family val="0"/>
    </font>
    <font>
      <sz val="10"/>
      <name val="Arial"/>
      <family val="0"/>
    </font>
    <font>
      <b val="true"/>
      <sz val="14"/>
      <color rgb="FF16233F"/>
      <name val="Arial"/>
      <family val="0"/>
      <charset val="1"/>
    </font>
    <font>
      <i val="true"/>
      <sz val="8"/>
      <color rgb="FF5C6675"/>
      <name val="Arial"/>
      <family val="0"/>
      <charset val="1"/>
    </font>
    <font>
      <b val="true"/>
      <sz val="9"/>
      <color rgb="FF16233F"/>
      <name val="Arial"/>
      <family val="0"/>
      <charset val="1"/>
    </font>
    <font>
      <sz val="9"/>
      <name val="Arial"/>
      <family val="0"/>
      <charset val="1"/>
    </font>
    <font>
      <b val="true"/>
      <sz val="10"/>
      <color rgb="FFFFFFFF"/>
      <name val="Arial"/>
      <family val="0"/>
      <charset val="1"/>
    </font>
    <font>
      <b val="true"/>
      <sz val="9"/>
      <color rgb="FFFFFFFF"/>
      <name val="Arial"/>
      <family val="0"/>
      <charset val="1"/>
    </font>
    <font>
      <sz val="9"/>
      <color rgb="FF0000FF"/>
      <name val="Arial"/>
      <family val="0"/>
      <charset val="1"/>
    </font>
    <font>
      <sz val="11"/>
      <color rgb="FF008000"/>
      <name val="Cambria"/>
      <family val="0"/>
      <charset val="1"/>
    </font>
    <font>
      <sz val="11"/>
      <color rgb="FF0000FF"/>
      <name val="Cambria"/>
      <family val="0"/>
      <charset val="1"/>
    </font>
    <font>
      <sz val="9"/>
      <color rgb="FF008000"/>
      <name val="Arial"/>
      <family val="0"/>
      <charset val="1"/>
    </font>
    <font>
      <sz val="11"/>
      <color rgb="FF000000"/>
      <name val="Cambria"/>
      <family val="0"/>
      <charset val="1"/>
    </font>
    <font>
      <sz val="8"/>
      <color rgb="FF5C6675"/>
      <name val="Arial"/>
      <family val="0"/>
      <charset val="1"/>
    </font>
    <font>
      <sz val="9"/>
      <color rgb="FF16233F"/>
      <name val="Arial"/>
      <family val="0"/>
      <charset val="1"/>
    </font>
    <font>
      <sz val="9"/>
      <color rgb="FF5C6675"/>
      <name val="Arial"/>
      <family val="0"/>
      <charset val="1"/>
    </font>
  </fonts>
  <fills count="5">
    <fill>
      <patternFill patternType="none"/>
    </fill>
    <fill>
      <patternFill patternType="gray125"/>
    </fill>
    <fill>
      <patternFill patternType="solid">
        <fgColor rgb="FF16233F"/>
        <bgColor rgb="FF003366"/>
      </patternFill>
    </fill>
    <fill>
      <patternFill patternType="solid">
        <fgColor rgb="FF33549B"/>
        <bgColor rgb="FF5C6675"/>
      </patternFill>
    </fill>
    <fill>
      <patternFill patternType="solid">
        <fgColor rgb="FFFFFF00"/>
        <bgColor rgb="FFFFFF00"/>
      </patternFill>
    </fill>
  </fills>
  <borders count="2">
    <border diagonalUp="false" diagonalDown="false">
      <left/>
      <right/>
      <top/>
      <bottom/>
      <diagonal/>
    </border>
    <border diagonalUp="false" diagonalDown="false">
      <left/>
      <right/>
      <top/>
      <bottom style="thin">
        <color rgb="FFD9DD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0" fillId="4" borderId="1" xfId="0" applyFont="true" applyBorder="true" applyAlignment="tru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bottom" textRotation="0" wrapText="false" indent="0" shrinkToFit="false"/>
      <protection locked="true" hidden="false"/>
    </xf>
    <xf numFmtId="166" fontId="10" fillId="4" borderId="1" xfId="0" applyFont="true" applyBorder="true" applyAlignment="tru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general" vertical="bottom" textRotation="0" wrapText="false" indent="0" shrinkToFit="false"/>
      <protection locked="true" hidden="false"/>
    </xf>
    <xf numFmtId="167" fontId="11" fillId="0" borderId="1" xfId="0" applyFont="true" applyBorder="tru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general" vertical="bottom" textRotation="0" wrapText="false" indent="0" shrinkToFit="false"/>
      <protection locked="true" hidden="false"/>
    </xf>
    <xf numFmtId="167" fontId="10" fillId="4" borderId="1" xfId="0" applyFont="true" applyBorder="true" applyAlignment="true" applyProtection="false">
      <alignment horizontal="general" vertical="bottom" textRotation="0" wrapText="false" indent="0" shrinkToFit="false"/>
      <protection locked="true" hidden="false"/>
    </xf>
    <xf numFmtId="168" fontId="10" fillId="0" borderId="1" xfId="0" applyFont="true" applyBorder="true" applyAlignment="true" applyProtection="false">
      <alignment horizontal="general" vertical="bottom" textRotation="0" wrapText="false" indent="0" shrinkToFit="false"/>
      <protection locked="true" hidden="false"/>
    </xf>
    <xf numFmtId="168" fontId="10" fillId="4" borderId="1" xfId="0" applyFont="true" applyBorder="true" applyAlignment="true" applyProtection="false">
      <alignment horizontal="general" vertical="bottom" textRotation="0" wrapText="false" indent="0" shrinkToFit="false"/>
      <protection locked="true" hidden="false"/>
    </xf>
    <xf numFmtId="168" fontId="6" fillId="0" borderId="1"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7" fontId="10" fillId="0" borderId="1"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general" vertical="bottom" textRotation="0" wrapText="false" indent="0" shrinkToFit="false"/>
      <protection locked="true" hidden="false"/>
    </xf>
    <xf numFmtId="168" fontId="7" fillId="0" borderId="1" xfId="0" applyFont="true" applyBorder="true" applyAlignment="true" applyProtection="false">
      <alignment horizontal="general" vertical="bottom" textRotation="0" wrapText="false" indent="0" shrinkToFit="false"/>
      <protection locked="true" hidden="false"/>
    </xf>
    <xf numFmtId="168" fontId="13"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9" fontId="14" fillId="0" borderId="0" xfId="0" applyFont="true" applyBorder="false" applyAlignment="true" applyProtection="false">
      <alignment horizontal="general" vertical="top" textRotation="0" wrapText="true" indent="0" shrinkToFit="false"/>
      <protection locked="true" hidden="false"/>
    </xf>
    <xf numFmtId="166" fontId="10" fillId="4" borderId="0" xfId="0" applyFont="true" applyBorder="false" applyAlignment="true" applyProtection="false">
      <alignment horizontal="general" vertical="bottom" textRotation="0" wrapText="false" indent="0" shrinkToFit="false"/>
      <protection locked="true" hidden="false"/>
    </xf>
    <xf numFmtId="168" fontId="7" fillId="0" borderId="1" xfId="0" applyFont="true" applyBorder="true" applyAlignment="true" applyProtection="false">
      <alignment horizontal="general" vertical="top" textRotation="0" wrapText="true" indent="0" shrinkToFit="false"/>
      <protection locked="true" hidden="false"/>
    </xf>
    <xf numFmtId="170" fontId="10" fillId="4" borderId="0" xfId="0" applyFont="true" applyBorder="fals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7" fontId="10" fillId="4" borderId="0" xfId="0" applyFont="true" applyBorder="false" applyAlignment="tru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general" vertical="bottom" textRotation="0" wrapText="false" indent="0" shrinkToFit="false"/>
      <protection locked="true" hidden="false"/>
    </xf>
    <xf numFmtId="171" fontId="7" fillId="0" borderId="1" xfId="0" applyFont="true" applyBorder="true" applyAlignment="true" applyProtection="false">
      <alignment horizontal="general" vertical="bottom" textRotation="0" wrapText="false" indent="0" shrinkToFit="false"/>
      <protection locked="true" hidden="false"/>
    </xf>
    <xf numFmtId="172" fontId="6" fillId="0"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72" fontId="10" fillId="0" borderId="0" xfId="0" applyFont="true" applyBorder="false" applyAlignment="true" applyProtection="false">
      <alignment horizontal="general" vertical="bottom" textRotation="0" wrapText="false" indent="0" shrinkToFit="false"/>
      <protection locked="true" hidden="false"/>
    </xf>
    <xf numFmtId="173" fontId="7"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72" fontId="7" fillId="0" borderId="0" xfId="0" applyFont="true" applyBorder="false" applyAlignment="true" applyProtection="false">
      <alignment horizontal="general" vertical="bottom" textRotation="0" wrapText="false" indent="0" shrinkToFit="false"/>
      <protection locked="true" hidden="false"/>
    </xf>
    <xf numFmtId="172" fontId="6" fillId="0" borderId="0" xfId="0" applyFont="true" applyBorder="false" applyAlignment="true" applyProtection="false">
      <alignment horizontal="general" vertical="bottom" textRotation="0" wrapText="false" indent="0" shrinkToFit="false"/>
      <protection locked="true" hidden="false"/>
    </xf>
    <xf numFmtId="174" fontId="7" fillId="0" borderId="0" xfId="0" applyFont="true" applyBorder="false" applyAlignment="true" applyProtection="false">
      <alignment horizontal="general" vertical="bottom" textRotation="0" wrapText="false" indent="0" shrinkToFit="false"/>
      <protection locked="true" hidden="false"/>
    </xf>
    <xf numFmtId="172" fontId="10" fillId="4"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DE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C6675"/>
      <rgbColor rgb="FF969696"/>
      <rgbColor rgb="FF003366"/>
      <rgbColor rgb="FF339966"/>
      <rgbColor rgb="FF003300"/>
      <rgbColor rgb="FF333300"/>
      <rgbColor rgb="FF993300"/>
      <rgbColor rgb="FF993366"/>
      <rgbColor rgb="FF33549B"/>
      <rgbColor rgb="FF1623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110"/>
  </cols>
  <sheetData>
    <row r="2" customFormat="false" ht="63.75" hidden="false" customHeight="true" outlineLevel="0" collapsed="false">
      <c r="B2" s="2" t="s">
        <v>0</v>
      </c>
    </row>
    <row r="3" customFormat="false" ht="27.75" hidden="false" customHeight="true" outlineLevel="0" collapsed="false">
      <c r="B3" s="3" t="s">
        <v>1</v>
      </c>
    </row>
    <row r="5" customFormat="false" ht="21.75" hidden="false" customHeight="true" outlineLevel="0" collapsed="false">
      <c r="B5" s="4" t="s">
        <v>2</v>
      </c>
      <c r="C5" s="5" t="s">
        <v>3</v>
      </c>
    </row>
    <row r="7" customFormat="false" ht="21.75" hidden="false" customHeight="true" outlineLevel="0" collapsed="false">
      <c r="B7" s="4" t="s">
        <v>4</v>
      </c>
      <c r="C7" s="5" t="s">
        <v>5</v>
      </c>
    </row>
    <row r="9" customFormat="false" ht="42.75" hidden="false" customHeight="true" outlineLevel="0" collapsed="false">
      <c r="B9" s="4" t="s">
        <v>6</v>
      </c>
      <c r="C9" s="5" t="s">
        <v>7</v>
      </c>
    </row>
    <row r="11" customFormat="false" ht="32.25" hidden="false" customHeight="true" outlineLevel="0" collapsed="false">
      <c r="B11" s="4" t="s">
        <v>8</v>
      </c>
      <c r="C11" s="5" t="s">
        <v>9</v>
      </c>
    </row>
    <row r="13" customFormat="false" ht="32.25" hidden="false" customHeight="true" outlineLevel="0" collapsed="false">
      <c r="B13" s="4" t="s">
        <v>10</v>
      </c>
      <c r="C13" s="5" t="s">
        <v>11</v>
      </c>
    </row>
    <row r="15" customFormat="false" ht="15" hidden="false" customHeight="true" outlineLevel="0" collapsed="false">
      <c r="B15" s="4" t="s">
        <v>12</v>
      </c>
      <c r="C15"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14"/>
    <col collapsed="false" customWidth="true" hidden="false" outlineLevel="0" max="4" min="4" style="1" width="80"/>
  </cols>
  <sheetData>
    <row r="1" customFormat="false" ht="17.25" hidden="false" customHeight="true" outlineLevel="0" collapsed="false">
      <c r="A1" s="6" t="s">
        <v>14</v>
      </c>
    </row>
    <row r="2" customFormat="false" ht="15" hidden="false" customHeight="true" outlineLevel="0" collapsed="false">
      <c r="A2" s="3" t="s">
        <v>15</v>
      </c>
    </row>
    <row r="4" customFormat="false" ht="15" hidden="false" customHeight="true" outlineLevel="0" collapsed="false">
      <c r="A4" s="7" t="s">
        <v>16</v>
      </c>
      <c r="B4" s="8"/>
      <c r="C4" s="8"/>
      <c r="D4" s="8"/>
    </row>
    <row r="5" customFormat="false" ht="15" hidden="false" customHeight="true" outlineLevel="0" collapsed="false">
      <c r="A5" s="9" t="s">
        <v>17</v>
      </c>
      <c r="B5" s="9" t="s">
        <v>18</v>
      </c>
      <c r="C5" s="9" t="s">
        <v>19</v>
      </c>
      <c r="D5" s="9" t="s">
        <v>20</v>
      </c>
    </row>
    <row r="6" customFormat="false" ht="15" hidden="false" customHeight="true" outlineLevel="0" collapsed="false">
      <c r="A6" s="10" t="s">
        <v>21</v>
      </c>
      <c r="B6" s="11" t="n">
        <v>8500</v>
      </c>
      <c r="C6" s="11" t="n">
        <v>11000</v>
      </c>
      <c r="D6" s="3" t="s">
        <v>22</v>
      </c>
    </row>
    <row r="7" customFormat="false" ht="15" hidden="false" customHeight="true" outlineLevel="0" collapsed="false">
      <c r="A7" s="10" t="s">
        <v>23</v>
      </c>
      <c r="B7" s="12" t="n">
        <v>1800</v>
      </c>
      <c r="C7" s="12" t="n">
        <v>3000</v>
      </c>
      <c r="D7" s="3" t="s">
        <v>24</v>
      </c>
    </row>
    <row r="8" customFormat="false" ht="15" hidden="false" customHeight="true" outlineLevel="0" collapsed="false">
      <c r="A8" s="10" t="s">
        <v>25</v>
      </c>
      <c r="B8" s="11" t="n">
        <v>12500</v>
      </c>
      <c r="C8" s="11" t="n">
        <v>16000</v>
      </c>
      <c r="D8" s="3" t="s">
        <v>26</v>
      </c>
    </row>
    <row r="9" customFormat="false" ht="15" hidden="false" customHeight="true" outlineLevel="0" collapsed="false">
      <c r="A9" s="5" t="s">
        <v>27</v>
      </c>
      <c r="B9" s="12" t="n">
        <v>5000</v>
      </c>
      <c r="C9" s="12" t="n">
        <v>8000</v>
      </c>
      <c r="D9" s="3" t="s">
        <v>28</v>
      </c>
    </row>
    <row r="10" customFormat="false" ht="15" hidden="false" customHeight="true" outlineLevel="0" collapsed="false">
      <c r="A10" s="10" t="s">
        <v>29</v>
      </c>
      <c r="B10" s="12" t="n">
        <v>1200</v>
      </c>
      <c r="C10" s="12" t="n">
        <v>3000</v>
      </c>
      <c r="D10" s="3" t="s">
        <v>30</v>
      </c>
    </row>
    <row r="11" customFormat="false" ht="15" hidden="false" customHeight="true" outlineLevel="0" collapsed="false">
      <c r="A11" s="4" t="s">
        <v>31</v>
      </c>
      <c r="B11" s="13" t="n">
        <f aca="false">SUM(B6:B10)</f>
        <v>29000</v>
      </c>
      <c r="C11" s="13" t="n">
        <f aca="false">SUM(C6:C10)</f>
        <v>41000</v>
      </c>
      <c r="D11" s="14" t="s">
        <v>32</v>
      </c>
    </row>
    <row r="13" customFormat="false" ht="15" hidden="false" customHeight="true" outlineLevel="0" collapsed="false">
      <c r="A13" s="15" t="s">
        <v>33</v>
      </c>
      <c r="B13" s="8"/>
      <c r="C13" s="8"/>
      <c r="D13" s="8"/>
    </row>
    <row r="14" customFormat="false" ht="15" hidden="false" customHeight="true" outlineLevel="0" collapsed="false">
      <c r="A14" s="9" t="s">
        <v>17</v>
      </c>
      <c r="B14" s="9" t="s">
        <v>18</v>
      </c>
      <c r="C14" s="9" t="s">
        <v>19</v>
      </c>
      <c r="D14" s="9" t="s">
        <v>20</v>
      </c>
    </row>
    <row r="15" customFormat="false" ht="15" hidden="false" customHeight="true" outlineLevel="0" collapsed="false">
      <c r="A15" s="10" t="s">
        <v>34</v>
      </c>
      <c r="B15" s="16" t="n">
        <v>14</v>
      </c>
      <c r="C15" s="16" t="n">
        <v>14</v>
      </c>
      <c r="D15" s="3" t="s">
        <v>35</v>
      </c>
    </row>
    <row r="16" customFormat="false" ht="15" hidden="false" customHeight="true" outlineLevel="0" collapsed="false">
      <c r="A16" s="5" t="s">
        <v>36</v>
      </c>
      <c r="B16" s="17" t="n">
        <v>8</v>
      </c>
      <c r="C16" s="17" t="n">
        <v>8</v>
      </c>
      <c r="D16" s="3" t="s">
        <v>37</v>
      </c>
    </row>
    <row r="17" customFormat="false" ht="15" hidden="false" customHeight="true" outlineLevel="0" collapsed="false">
      <c r="A17" s="5" t="s">
        <v>38</v>
      </c>
      <c r="B17" s="18" t="n">
        <f aca="false">'Admission Mix'!B13</f>
        <v>0.7</v>
      </c>
      <c r="C17" s="18" t="n">
        <f aca="false">'Admission Mix'!B13</f>
        <v>0.7</v>
      </c>
      <c r="D17" s="3" t="s">
        <v>39</v>
      </c>
    </row>
    <row r="18" customFormat="false" ht="15" hidden="false" customHeight="true" outlineLevel="0" collapsed="false">
      <c r="A18" s="4" t="s">
        <v>40</v>
      </c>
      <c r="B18" s="19" t="n">
        <f aca="false">B15*B17</f>
        <v>9.8</v>
      </c>
      <c r="C18" s="19" t="n">
        <f aca="false">C15*C17</f>
        <v>9.8</v>
      </c>
      <c r="D18" s="3" t="s">
        <v>41</v>
      </c>
    </row>
    <row r="19" customFormat="false" ht="15" hidden="false" customHeight="true" outlineLevel="0" collapsed="false">
      <c r="A19" s="5" t="s">
        <v>42</v>
      </c>
      <c r="C19" s="17" t="n">
        <v>8</v>
      </c>
      <c r="D19" s="3" t="s">
        <v>43</v>
      </c>
    </row>
    <row r="20" customFormat="false" ht="15" hidden="false" customHeight="true" outlineLevel="0" collapsed="false">
      <c r="A20" s="5" t="s">
        <v>44</v>
      </c>
      <c r="C20" s="20" t="n">
        <v>0.7</v>
      </c>
      <c r="D20" s="3" t="s">
        <v>45</v>
      </c>
    </row>
    <row r="21" customFormat="false" ht="15" hidden="false" customHeight="true" outlineLevel="0" collapsed="false">
      <c r="A21" s="10" t="s">
        <v>46</v>
      </c>
      <c r="C21" s="17" t="n">
        <v>8</v>
      </c>
      <c r="D21" s="3" t="s">
        <v>47</v>
      </c>
    </row>
    <row r="23" customFormat="false" ht="15" hidden="false" customHeight="true" outlineLevel="0" collapsed="false">
      <c r="A23" s="15" t="s">
        <v>48</v>
      </c>
      <c r="B23" s="8"/>
      <c r="C23" s="8"/>
      <c r="D23" s="8"/>
    </row>
    <row r="24" customFormat="false" ht="15" hidden="false" customHeight="true" outlineLevel="0" collapsed="false">
      <c r="A24" s="9" t="s">
        <v>17</v>
      </c>
      <c r="B24" s="9" t="s">
        <v>18</v>
      </c>
      <c r="C24" s="9" t="s">
        <v>19</v>
      </c>
      <c r="D24" s="9" t="s">
        <v>20</v>
      </c>
    </row>
    <row r="25" customFormat="false" ht="15" hidden="false" customHeight="true" outlineLevel="0" collapsed="false">
      <c r="A25" s="10" t="s">
        <v>49</v>
      </c>
      <c r="B25" s="17" t="n">
        <v>1.5</v>
      </c>
      <c r="C25" s="17" t="n">
        <v>1.75</v>
      </c>
      <c r="D25" s="14" t="s">
        <v>50</v>
      </c>
    </row>
    <row r="26" customFormat="false" ht="15" hidden="false" customHeight="true" outlineLevel="0" collapsed="false">
      <c r="A26" s="10" t="s">
        <v>51</v>
      </c>
      <c r="B26" s="21" t="n">
        <v>60000</v>
      </c>
      <c r="C26" s="21" t="n">
        <v>90000</v>
      </c>
      <c r="D26" s="14" t="s">
        <v>52</v>
      </c>
    </row>
    <row r="27" customFormat="false" ht="15" hidden="false" customHeight="true" outlineLevel="0" collapsed="false">
      <c r="A27" s="10" t="s">
        <v>53</v>
      </c>
      <c r="B27" s="21" t="n">
        <v>65000</v>
      </c>
      <c r="C27" s="21" t="n">
        <v>85000</v>
      </c>
      <c r="D27" s="3" t="s">
        <v>54</v>
      </c>
    </row>
    <row r="28" customFormat="false" ht="15" hidden="false" customHeight="true" outlineLevel="0" collapsed="false">
      <c r="A28" s="10" t="s">
        <v>55</v>
      </c>
      <c r="B28" s="21" t="n">
        <v>25000</v>
      </c>
      <c r="C28" s="21" t="n">
        <v>50000</v>
      </c>
      <c r="D28" s="14" t="s">
        <v>56</v>
      </c>
    </row>
    <row r="30" customFormat="false" ht="15" hidden="false" customHeight="true" outlineLevel="0" collapsed="false">
      <c r="A30" s="15" t="s">
        <v>57</v>
      </c>
      <c r="B30" s="8"/>
      <c r="C30" s="8"/>
      <c r="D30" s="8"/>
    </row>
    <row r="31" customFormat="false" ht="15" hidden="false" customHeight="true" outlineLevel="0" collapsed="false">
      <c r="A31" s="9" t="s">
        <v>17</v>
      </c>
      <c r="B31" s="9" t="s">
        <v>18</v>
      </c>
      <c r="C31" s="9" t="s">
        <v>19</v>
      </c>
      <c r="D31" s="9" t="s">
        <v>20</v>
      </c>
    </row>
    <row r="32" customFormat="false" ht="15" hidden="false" customHeight="true" outlineLevel="0" collapsed="false">
      <c r="A32" s="10" t="s">
        <v>58</v>
      </c>
      <c r="B32" s="22" t="n">
        <v>730000</v>
      </c>
      <c r="C32" s="22" t="n">
        <v>910000</v>
      </c>
      <c r="D32" s="3" t="s">
        <v>59</v>
      </c>
    </row>
    <row r="33" customFormat="false" ht="15" hidden="false" customHeight="true" outlineLevel="0" collapsed="false">
      <c r="A33" s="5" t="s">
        <v>60</v>
      </c>
      <c r="B33" s="21" t="n">
        <v>320000</v>
      </c>
      <c r="C33" s="21" t="n">
        <v>370000</v>
      </c>
      <c r="D33" s="3" t="s">
        <v>61</v>
      </c>
    </row>
    <row r="34" customFormat="false" ht="15" hidden="false" customHeight="true" outlineLevel="0" collapsed="false">
      <c r="A34" s="10" t="s">
        <v>62</v>
      </c>
      <c r="B34" s="21" t="n">
        <v>50000</v>
      </c>
      <c r="C34" s="21" t="n">
        <v>60000</v>
      </c>
      <c r="D34" s="14" t="s">
        <v>63</v>
      </c>
    </row>
    <row r="35" customFormat="false" ht="15" hidden="false" customHeight="true" outlineLevel="0" collapsed="false">
      <c r="A35" s="10" t="s">
        <v>64</v>
      </c>
      <c r="B35" s="21" t="n">
        <v>75000</v>
      </c>
      <c r="C35" s="21" t="n">
        <v>75000</v>
      </c>
      <c r="D35" s="3" t="s">
        <v>65</v>
      </c>
    </row>
    <row r="36" customFormat="false" ht="15" hidden="false" customHeight="true" outlineLevel="0" collapsed="false">
      <c r="A36" s="10" t="s">
        <v>66</v>
      </c>
      <c r="B36" s="21" t="n">
        <v>80000</v>
      </c>
      <c r="C36" s="21" t="n">
        <v>110000</v>
      </c>
      <c r="D36" s="14"/>
    </row>
    <row r="37" customFormat="false" ht="15" hidden="false" customHeight="true" outlineLevel="0" collapsed="false">
      <c r="A37" s="10" t="s">
        <v>67</v>
      </c>
      <c r="B37" s="21" t="n">
        <v>35000</v>
      </c>
      <c r="C37" s="21" t="n">
        <v>40000</v>
      </c>
      <c r="D37" s="14"/>
    </row>
    <row r="38" customFormat="false" ht="15" hidden="false" customHeight="true" outlineLevel="0" collapsed="false">
      <c r="A38" s="10" t="s">
        <v>68</v>
      </c>
      <c r="B38" s="21" t="n">
        <v>35000</v>
      </c>
      <c r="C38" s="21" t="n">
        <v>55000</v>
      </c>
      <c r="D38" s="14"/>
    </row>
    <row r="39" customFormat="false" ht="15" hidden="false" customHeight="true" outlineLevel="0" collapsed="false">
      <c r="A39" s="10" t="s">
        <v>69</v>
      </c>
      <c r="B39" s="21" t="n">
        <v>45000</v>
      </c>
      <c r="C39" s="21" t="n">
        <v>55000</v>
      </c>
      <c r="D39" s="14"/>
    </row>
    <row r="40" customFormat="false" ht="15" hidden="false" customHeight="true" outlineLevel="0" collapsed="false">
      <c r="A40" s="10" t="s">
        <v>70</v>
      </c>
      <c r="B40" s="21" t="n">
        <v>40000</v>
      </c>
      <c r="C40" s="21" t="n">
        <v>60000</v>
      </c>
      <c r="D40" s="14"/>
    </row>
    <row r="41" customFormat="false" ht="15" hidden="false" customHeight="true" outlineLevel="0" collapsed="false">
      <c r="A41" s="5" t="s">
        <v>71</v>
      </c>
      <c r="B41" s="21" t="n">
        <v>0</v>
      </c>
      <c r="C41" s="21" t="n">
        <v>75000</v>
      </c>
      <c r="D41" s="3" t="s">
        <v>72</v>
      </c>
    </row>
    <row r="42" customFormat="false" ht="15" hidden="false" customHeight="true" outlineLevel="0" collapsed="false">
      <c r="A42" s="4" t="s">
        <v>73</v>
      </c>
      <c r="B42" s="23" t="n">
        <f aca="false">SUM(B32:B41)</f>
        <v>1410000</v>
      </c>
      <c r="C42" s="23" t="n">
        <f aca="false">SUM(C32:C41)</f>
        <v>1810000</v>
      </c>
      <c r="D42" s="3" t="s">
        <v>74</v>
      </c>
    </row>
    <row r="44" customFormat="false" ht="15" hidden="false" customHeight="true" outlineLevel="0" collapsed="false">
      <c r="A44" s="7" t="s">
        <v>75</v>
      </c>
      <c r="B44" s="8"/>
      <c r="C44" s="8"/>
      <c r="D44" s="8"/>
    </row>
    <row r="45" customFormat="false" ht="15" hidden="false" customHeight="true" outlineLevel="0" collapsed="false">
      <c r="A45" s="9" t="s">
        <v>17</v>
      </c>
      <c r="B45" s="9" t="s">
        <v>18</v>
      </c>
      <c r="C45" s="9" t="s">
        <v>19</v>
      </c>
      <c r="D45" s="9" t="s">
        <v>20</v>
      </c>
    </row>
    <row r="46" customFormat="false" ht="15" hidden="false" customHeight="true" outlineLevel="0" collapsed="false">
      <c r="A46" s="5" t="s">
        <v>76</v>
      </c>
      <c r="B46" s="22" t="n">
        <v>225000</v>
      </c>
      <c r="C46" s="22" t="n">
        <v>225000</v>
      </c>
      <c r="D46" s="3" t="s">
        <v>77</v>
      </c>
    </row>
    <row r="47" customFormat="false" ht="15" hidden="false" customHeight="true" outlineLevel="0" collapsed="false">
      <c r="A47" s="5" t="s">
        <v>78</v>
      </c>
      <c r="B47" s="21" t="n">
        <v>75000</v>
      </c>
      <c r="C47" s="21" t="n">
        <v>75000</v>
      </c>
      <c r="D47" s="3" t="s">
        <v>79</v>
      </c>
    </row>
    <row r="48" customFormat="false" ht="15" hidden="false" customHeight="true" outlineLevel="0" collapsed="false">
      <c r="A48" s="10" t="s">
        <v>80</v>
      </c>
      <c r="B48" s="21" t="n">
        <v>137500</v>
      </c>
      <c r="C48" s="21" t="n">
        <v>137500</v>
      </c>
      <c r="D48" s="14" t="s">
        <v>81</v>
      </c>
    </row>
    <row r="49" customFormat="false" ht="15" hidden="false" customHeight="true" outlineLevel="0" collapsed="false">
      <c r="A49" s="5" t="s">
        <v>82</v>
      </c>
      <c r="B49" s="22" t="n">
        <v>212500</v>
      </c>
      <c r="C49" s="22" t="n">
        <v>212500</v>
      </c>
      <c r="D49" s="3" t="s">
        <v>83</v>
      </c>
    </row>
    <row r="50" customFormat="false" ht="15" hidden="false" customHeight="true" outlineLevel="0" collapsed="false">
      <c r="A50" s="10" t="s">
        <v>84</v>
      </c>
      <c r="B50" s="21" t="n">
        <v>0</v>
      </c>
      <c r="C50" s="21" t="n">
        <v>0</v>
      </c>
      <c r="D50" s="14" t="s">
        <v>85</v>
      </c>
    </row>
    <row r="51" customFormat="false" ht="15" hidden="false" customHeight="true" outlineLevel="0" collapsed="false">
      <c r="A51" s="24" t="s">
        <v>86</v>
      </c>
      <c r="B51" s="23" t="n">
        <f aca="false">SUM(B46:B50)</f>
        <v>650000</v>
      </c>
      <c r="C51" s="23" t="n">
        <f aca="false">SUM(C46:C50)</f>
        <v>650000</v>
      </c>
      <c r="D51" s="3" t="s">
        <v>87</v>
      </c>
    </row>
    <row r="52" customFormat="false" ht="15" hidden="false" customHeight="true" outlineLevel="0" collapsed="false">
      <c r="A52" s="10" t="s">
        <v>88</v>
      </c>
      <c r="B52" s="25" t="n">
        <v>0.045</v>
      </c>
      <c r="C52" s="25" t="n">
        <v>0.045</v>
      </c>
      <c r="D52" s="14" t="s">
        <v>89</v>
      </c>
    </row>
    <row r="54" customFormat="false" ht="15" hidden="false" customHeight="true" outlineLevel="0" collapsed="false">
      <c r="A54" s="15" t="s">
        <v>90</v>
      </c>
      <c r="B54" s="8"/>
      <c r="C54" s="8"/>
      <c r="D54" s="8"/>
    </row>
    <row r="55" customFormat="false" ht="15" hidden="false" customHeight="true" outlineLevel="0" collapsed="false">
      <c r="A55" s="9" t="s">
        <v>17</v>
      </c>
      <c r="B55" s="9" t="s">
        <v>18</v>
      </c>
      <c r="C55" s="9" t="s">
        <v>19</v>
      </c>
      <c r="D55" s="9" t="s">
        <v>20</v>
      </c>
    </row>
    <row r="56" customFormat="false" ht="15" hidden="false" customHeight="true" outlineLevel="0" collapsed="false">
      <c r="A56" s="10" t="s">
        <v>91</v>
      </c>
      <c r="B56" s="12" t="n">
        <v>13500</v>
      </c>
      <c r="C56" s="12" t="n">
        <v>13500</v>
      </c>
      <c r="D56" s="3" t="s">
        <v>92</v>
      </c>
    </row>
    <row r="57" customFormat="false" ht="15" hidden="false" customHeight="true" outlineLevel="0" collapsed="false">
      <c r="A57" s="10" t="s">
        <v>93</v>
      </c>
      <c r="B57" s="21" t="n">
        <v>200</v>
      </c>
      <c r="C57" s="21" t="n">
        <v>200</v>
      </c>
      <c r="D57" s="3" t="s">
        <v>94</v>
      </c>
    </row>
    <row r="58" customFormat="false" ht="15" hidden="false" customHeight="true" outlineLevel="0" collapsed="false">
      <c r="A58" s="10" t="s">
        <v>95</v>
      </c>
      <c r="B58" s="12" t="n">
        <v>4700</v>
      </c>
      <c r="C58" s="12" t="n">
        <v>4700</v>
      </c>
      <c r="D58" s="14" t="s">
        <v>96</v>
      </c>
    </row>
    <row r="59" customFormat="false" ht="15" hidden="false" customHeight="true" outlineLevel="0" collapsed="false">
      <c r="A59" s="10" t="s">
        <v>97</v>
      </c>
      <c r="B59" s="22" t="n">
        <v>500</v>
      </c>
      <c r="C59" s="22" t="n">
        <v>500</v>
      </c>
      <c r="D59" s="3" t="s">
        <v>98</v>
      </c>
    </row>
    <row r="60" customFormat="false" ht="15" hidden="false" customHeight="true" outlineLevel="0" collapsed="false">
      <c r="A60" s="10" t="s">
        <v>99</v>
      </c>
      <c r="B60" s="21" t="n">
        <v>1400000</v>
      </c>
      <c r="C60" s="21" t="n">
        <v>1400000</v>
      </c>
      <c r="D60" s="14" t="s">
        <v>100</v>
      </c>
    </row>
    <row r="61" customFormat="false" ht="15" hidden="false" customHeight="true" outlineLevel="0" collapsed="false">
      <c r="A61" s="10" t="s">
        <v>101</v>
      </c>
      <c r="B61" s="25" t="n">
        <v>0.15</v>
      </c>
      <c r="C61" s="25" t="n">
        <v>0.15</v>
      </c>
      <c r="D61" s="14"/>
    </row>
    <row r="62" customFormat="false" ht="15" hidden="false" customHeight="true" outlineLevel="0" collapsed="false">
      <c r="A62" s="10" t="s">
        <v>102</v>
      </c>
      <c r="B62" s="25" t="n">
        <v>0.2</v>
      </c>
      <c r="C62" s="25" t="n">
        <v>0.2</v>
      </c>
      <c r="D62" s="14"/>
    </row>
    <row r="63" customFormat="false" ht="15" hidden="false" customHeight="true" outlineLevel="0" collapsed="false">
      <c r="A63" s="5" t="s">
        <v>103</v>
      </c>
      <c r="B63" s="21" t="n">
        <v>1000000</v>
      </c>
      <c r="C63" s="21" t="n">
        <v>1000000</v>
      </c>
      <c r="D63" s="3" t="s">
        <v>104</v>
      </c>
    </row>
    <row r="64" customFormat="false" ht="15" hidden="false" customHeight="true" outlineLevel="0" collapsed="false">
      <c r="A64" s="10" t="s">
        <v>105</v>
      </c>
      <c r="C64" s="21" t="n">
        <v>8000000</v>
      </c>
      <c r="D64" s="3" t="s">
        <v>106</v>
      </c>
    </row>
    <row r="65" customFormat="false" ht="15" hidden="false" customHeight="true" outlineLevel="0" collapsed="false">
      <c r="A65" s="26" t="s">
        <v>107</v>
      </c>
      <c r="B65" s="27" t="n">
        <v>250000</v>
      </c>
      <c r="C65" s="27" t="n">
        <v>250000</v>
      </c>
      <c r="D65" s="26" t="s">
        <v>108</v>
      </c>
    </row>
    <row r="66" customFormat="false" ht="15" hidden="false" customHeight="true" outlineLevel="0" collapsed="false">
      <c r="A66" s="26" t="s">
        <v>109</v>
      </c>
    </row>
    <row r="67" customFormat="false" ht="15" hidden="false" customHeight="true" outlineLevel="0" collapsed="false">
      <c r="A67" s="26" t="s">
        <v>110</v>
      </c>
      <c r="B67" s="27" t="n">
        <v>6.75</v>
      </c>
      <c r="C67" s="27" t="n">
        <v>6.75</v>
      </c>
      <c r="D67" s="26" t="s">
        <v>111</v>
      </c>
    </row>
    <row r="68" customFormat="false" ht="15" hidden="false" customHeight="true" outlineLevel="0" collapsed="false">
      <c r="A68" s="1" t="s">
        <v>112</v>
      </c>
      <c r="B68" s="27" t="n">
        <v>1</v>
      </c>
      <c r="C68" s="27" t="n">
        <v>1</v>
      </c>
      <c r="D68" s="26" t="s">
        <v>113</v>
      </c>
    </row>
  </sheetData>
  <dataValidations count="1">
    <dataValidation allowBlank="true" error="Value must be zero or positive." errorStyle="stop" errorTitle="Invalid input" operator="greaterThanOrEqual" showDropDown="false" showErrorMessage="true" showInputMessage="false" sqref="B6:C10 B15:C16 B25:C28 B32:C41 B46:C50 B56:C64 B67:C68"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16"/>
    <col collapsed="false" customWidth="true" hidden="false" outlineLevel="0" max="4" min="4" style="1" width="70"/>
  </cols>
  <sheetData>
    <row r="1" customFormat="false" ht="17.25" hidden="false" customHeight="true" outlineLevel="0" collapsed="false">
      <c r="A1" s="2" t="s">
        <v>114</v>
      </c>
    </row>
    <row r="2" customFormat="false" ht="15" hidden="false" customHeight="true" outlineLevel="0" collapsed="false">
      <c r="A2" s="3" t="s">
        <v>115</v>
      </c>
    </row>
    <row r="4" customFormat="false" ht="15" hidden="false" customHeight="true" outlineLevel="0" collapsed="false">
      <c r="A4" s="15" t="s">
        <v>116</v>
      </c>
      <c r="B4" s="8"/>
      <c r="C4" s="8"/>
      <c r="D4" s="8"/>
    </row>
    <row r="5" customFormat="false" ht="15" hidden="false" customHeight="true" outlineLevel="0" collapsed="false">
      <c r="A5" s="9"/>
      <c r="B5" s="9" t="s">
        <v>18</v>
      </c>
      <c r="C5" s="9" t="s">
        <v>19</v>
      </c>
      <c r="D5" s="9" t="s">
        <v>20</v>
      </c>
    </row>
    <row r="6" customFormat="false" ht="15" hidden="false" customHeight="true" outlineLevel="0" collapsed="false">
      <c r="A6" s="10" t="s">
        <v>31</v>
      </c>
      <c r="B6" s="28" t="n">
        <f aca="false">Drivers!B11</f>
        <v>29000</v>
      </c>
      <c r="C6" s="28" t="n">
        <f aca="false">Drivers!C11</f>
        <v>41000</v>
      </c>
      <c r="D6" s="14"/>
    </row>
    <row r="7" customFormat="false" ht="15" hidden="false" customHeight="true" outlineLevel="0" collapsed="false">
      <c r="A7" s="10" t="s">
        <v>117</v>
      </c>
      <c r="B7" s="29" t="n">
        <f aca="false">B6*Drivers!B18</f>
        <v>284200</v>
      </c>
      <c r="C7" s="29" t="n">
        <f aca="false">C6*Drivers!C18</f>
        <v>401800</v>
      </c>
      <c r="D7" s="14" t="s">
        <v>118</v>
      </c>
    </row>
    <row r="8" customFormat="false" ht="15" hidden="false" customHeight="true" outlineLevel="0" collapsed="false">
      <c r="A8" s="10" t="s">
        <v>119</v>
      </c>
      <c r="B8" s="29" t="n">
        <v>0</v>
      </c>
      <c r="C8" s="29" t="n">
        <f aca="false">C6*Drivers!C20*Drivers!C21</f>
        <v>229600</v>
      </c>
      <c r="D8" s="14" t="s">
        <v>120</v>
      </c>
    </row>
    <row r="9" customFormat="false" ht="15" hidden="false" customHeight="true" outlineLevel="0" collapsed="false">
      <c r="A9" s="10" t="s">
        <v>121</v>
      </c>
      <c r="B9" s="29" t="n">
        <f aca="false">B6*Drivers!B25</f>
        <v>43500</v>
      </c>
      <c r="C9" s="29" t="n">
        <f aca="false">C6*Drivers!C25</f>
        <v>71750</v>
      </c>
      <c r="D9" s="14"/>
    </row>
    <row r="10" customFormat="false" ht="15" hidden="false" customHeight="true" outlineLevel="0" collapsed="false">
      <c r="A10" s="10" t="s">
        <v>122</v>
      </c>
      <c r="B10" s="30" t="n">
        <f aca="false">Drivers!B26</f>
        <v>60000</v>
      </c>
      <c r="C10" s="30" t="n">
        <f aca="false">Drivers!C26</f>
        <v>90000</v>
      </c>
      <c r="D10" s="14"/>
    </row>
    <row r="11" customFormat="false" ht="15" hidden="false" customHeight="true" outlineLevel="0" collapsed="false">
      <c r="A11" s="10" t="s">
        <v>123</v>
      </c>
      <c r="B11" s="30" t="n">
        <f aca="false">Drivers!B27</f>
        <v>65000</v>
      </c>
      <c r="C11" s="30" t="n">
        <f aca="false">Drivers!C27</f>
        <v>85000</v>
      </c>
      <c r="D11" s="14"/>
    </row>
    <row r="12" customFormat="false" ht="15" hidden="false" customHeight="true" outlineLevel="0" collapsed="false">
      <c r="A12" s="10" t="s">
        <v>124</v>
      </c>
      <c r="B12" s="30" t="n">
        <f aca="false">Drivers!B28</f>
        <v>25000</v>
      </c>
      <c r="C12" s="30" t="n">
        <f aca="false">Drivers!C28</f>
        <v>50000</v>
      </c>
      <c r="D12" s="14"/>
    </row>
    <row r="13" customFormat="false" ht="15" hidden="false" customHeight="true" outlineLevel="0" collapsed="false">
      <c r="A13" s="4" t="s">
        <v>125</v>
      </c>
      <c r="B13" s="23" t="n">
        <f aca="false">SUM(B7:B12)</f>
        <v>477700</v>
      </c>
      <c r="C13" s="23" t="n">
        <f aca="false">SUM(C7:C12)</f>
        <v>928150</v>
      </c>
      <c r="D13" s="14"/>
    </row>
    <row r="15" customFormat="false" ht="15" hidden="false" customHeight="true" outlineLevel="0" collapsed="false">
      <c r="A15" s="15" t="s">
        <v>126</v>
      </c>
      <c r="B15" s="8"/>
      <c r="C15" s="8"/>
      <c r="D15" s="8"/>
    </row>
    <row r="16" customFormat="false" ht="15" hidden="false" customHeight="true" outlineLevel="0" collapsed="false">
      <c r="A16" s="9"/>
      <c r="B16" s="9" t="s">
        <v>18</v>
      </c>
      <c r="C16" s="9" t="s">
        <v>19</v>
      </c>
      <c r="D16" s="9" t="s">
        <v>20</v>
      </c>
    </row>
    <row r="17" customFormat="false" ht="15" hidden="false" customHeight="true" outlineLevel="0" collapsed="false">
      <c r="A17" s="10" t="s">
        <v>73</v>
      </c>
      <c r="B17" s="30" t="n">
        <f aca="false">Drivers!B42</f>
        <v>1410000</v>
      </c>
      <c r="C17" s="30" t="n">
        <f aca="false">Drivers!C42</f>
        <v>1810000</v>
      </c>
      <c r="D17" s="14"/>
    </row>
    <row r="18" customFormat="false" ht="15" hidden="false" customHeight="true" outlineLevel="0" collapsed="false">
      <c r="A18" s="4" t="s">
        <v>127</v>
      </c>
      <c r="B18" s="23" t="n">
        <f aca="false">B17-B13</f>
        <v>932300</v>
      </c>
      <c r="C18" s="23" t="n">
        <f aca="false">C17-C13</f>
        <v>881850</v>
      </c>
      <c r="D18" s="14" t="s">
        <v>128</v>
      </c>
    </row>
    <row r="19" customFormat="false" ht="15" hidden="false" customHeight="true" outlineLevel="0" collapsed="false">
      <c r="A19" s="10" t="s">
        <v>129</v>
      </c>
      <c r="B19" s="31" t="n">
        <f aca="false">B13/B17</f>
        <v>0.338794326241135</v>
      </c>
      <c r="C19" s="31" t="n">
        <f aca="false">C13/C17</f>
        <v>0.512790055248619</v>
      </c>
      <c r="D19" s="14"/>
    </row>
    <row r="20" customFormat="false" ht="15" hidden="false" customHeight="true" outlineLevel="0" collapsed="false">
      <c r="A20" s="5" t="s">
        <v>130</v>
      </c>
      <c r="B20" s="30" t="n">
        <f aca="false">Drivers!B51</f>
        <v>650000</v>
      </c>
      <c r="C20" s="30" t="n">
        <f aca="false">Drivers!C51</f>
        <v>650000</v>
      </c>
      <c r="D20" s="14"/>
    </row>
    <row r="21" customFormat="false" ht="15" hidden="false" customHeight="true" outlineLevel="0" collapsed="false">
      <c r="A21" s="24" t="s">
        <v>131</v>
      </c>
      <c r="B21" s="23" t="n">
        <f aca="false">B20-B18</f>
        <v>-282300</v>
      </c>
      <c r="C21" s="23" t="n">
        <f aca="false">C20-C18</f>
        <v>-231850</v>
      </c>
      <c r="D21" s="3" t="s">
        <v>132</v>
      </c>
    </row>
    <row r="22" customFormat="false" ht="15" hidden="false" customHeight="true" outlineLevel="0" collapsed="false">
      <c r="A22" s="10" t="s">
        <v>133</v>
      </c>
      <c r="B22" s="29" t="n">
        <f aca="false">B18/Drivers!B52</f>
        <v>20717777.7777778</v>
      </c>
      <c r="C22" s="29" t="n">
        <f aca="false">C18/Drivers!C52</f>
        <v>19596666.6666667</v>
      </c>
      <c r="D22" s="3" t="s">
        <v>134</v>
      </c>
    </row>
    <row r="24" customFormat="false" ht="15" hidden="false" customHeight="true" outlineLevel="0" collapsed="false">
      <c r="A24" s="15" t="s">
        <v>135</v>
      </c>
      <c r="B24" s="8"/>
      <c r="C24" s="8"/>
      <c r="D24" s="8"/>
    </row>
    <row r="25" customFormat="false" ht="15" hidden="false" customHeight="true" outlineLevel="0" collapsed="false">
      <c r="A25" s="9"/>
      <c r="B25" s="9" t="s">
        <v>18</v>
      </c>
      <c r="C25" s="9" t="s">
        <v>19</v>
      </c>
      <c r="D25" s="9" t="s">
        <v>20</v>
      </c>
    </row>
    <row r="26" customFormat="false" ht="15" hidden="false" customHeight="true" outlineLevel="0" collapsed="false">
      <c r="A26" s="10" t="s">
        <v>136</v>
      </c>
      <c r="B26" s="29" t="n">
        <f aca="false">B13-B7</f>
        <v>193500</v>
      </c>
      <c r="C26" s="29" t="n">
        <f aca="false">C13-C7</f>
        <v>526350</v>
      </c>
      <c r="D26" s="14"/>
    </row>
    <row r="27" customFormat="false" ht="15" hidden="false" customHeight="true" outlineLevel="0" collapsed="false">
      <c r="A27" s="5" t="s">
        <v>137</v>
      </c>
      <c r="B27" s="29" t="n">
        <f aca="false">B17-B26</f>
        <v>1216500</v>
      </c>
      <c r="C27" s="29" t="n">
        <f aca="false">C17-C26</f>
        <v>1283650</v>
      </c>
      <c r="D27" s="14"/>
    </row>
    <row r="28" customFormat="false" ht="15" hidden="false" customHeight="true" outlineLevel="0" collapsed="false">
      <c r="A28" s="10" t="s">
        <v>138</v>
      </c>
      <c r="B28" s="32" t="n">
        <f aca="false">B27/B6</f>
        <v>41.948275862069</v>
      </c>
      <c r="C28" s="32" t="n">
        <f aca="false">C27/C6</f>
        <v>31.3085365853659</v>
      </c>
      <c r="D28" s="14"/>
    </row>
    <row r="29" customFormat="false" ht="15" hidden="false" customHeight="true" outlineLevel="0" collapsed="false">
      <c r="A29" s="4" t="s">
        <v>139</v>
      </c>
      <c r="B29" s="19" t="n">
        <f aca="false">B28/Drivers!B17</f>
        <v>59.9261083743842</v>
      </c>
      <c r="C29" s="19" t="n">
        <f aca="false">C28/Drivers!C17</f>
        <v>44.7264808362369</v>
      </c>
      <c r="D29" s="14" t="s">
        <v>140</v>
      </c>
    </row>
    <row r="30" customFormat="false" ht="15" hidden="false" customHeight="true" outlineLevel="0" collapsed="false">
      <c r="A30" s="24" t="s">
        <v>141</v>
      </c>
      <c r="B30" s="33" t="n">
        <f aca="false">(B17-Drivers!B26-Drivers!B27-Drivers!B28)/(Drivers!B18+Drivers!B25)</f>
        <v>111504.424778761</v>
      </c>
      <c r="C30" s="33" t="n">
        <f aca="false">(C17-Drivers!C26-Drivers!C27-Drivers!C28)/(Drivers!C18+Drivers!C25+Drivers!C20*Drivers!C21)</f>
        <v>92419.8250728863</v>
      </c>
      <c r="D30" s="3" t="s">
        <v>142</v>
      </c>
    </row>
    <row r="31" customFormat="false" ht="15" hidden="false" customHeight="true" outlineLevel="0" collapsed="false">
      <c r="A31" s="26" t="s">
        <v>143</v>
      </c>
      <c r="B31" s="34" t="n">
        <f aca="false">B17/(Drivers!B18+Drivers!B25+(Drivers!B26+Drivers!B27+Drivers!B28)/Drivers!B11)</f>
        <v>85597.6554322797</v>
      </c>
      <c r="C31" s="34" t="n">
        <f aca="false">C17/(Drivers!C18+Drivers!C25+Drivers!C20*Drivers!C21+(Drivers!C26+Drivers!C27+Drivers!C28)/Drivers!C11)</f>
        <v>79954.7486936379</v>
      </c>
      <c r="D31" s="26" t="s">
        <v>144</v>
      </c>
    </row>
    <row r="32" customFormat="false" ht="15" hidden="false" customHeight="true" outlineLevel="0" collapsed="false">
      <c r="A32" s="15" t="s">
        <v>145</v>
      </c>
      <c r="B32" s="8"/>
      <c r="C32" s="8"/>
      <c r="D32" s="8"/>
    </row>
    <row r="33" customFormat="false" ht="15" hidden="false" customHeight="true" outlineLevel="0" collapsed="false">
      <c r="A33" s="9"/>
      <c r="B33" s="9" t="s">
        <v>18</v>
      </c>
      <c r="C33" s="9" t="s">
        <v>19</v>
      </c>
      <c r="D33" s="9" t="s">
        <v>20</v>
      </c>
    </row>
    <row r="34" customFormat="false" ht="15" hidden="false" customHeight="true" outlineLevel="0" collapsed="false">
      <c r="A34" s="10" t="s">
        <v>146</v>
      </c>
      <c r="B34" s="29" t="n">
        <f aca="false">Drivers!B56*Drivers!B57</f>
        <v>2700000</v>
      </c>
      <c r="C34" s="29" t="n">
        <f aca="false">Drivers!C56*Drivers!C57</f>
        <v>2700000</v>
      </c>
      <c r="D34" s="14" t="s">
        <v>147</v>
      </c>
    </row>
    <row r="35" customFormat="false" ht="15" hidden="false" customHeight="true" outlineLevel="0" collapsed="false">
      <c r="A35" s="10" t="s">
        <v>148</v>
      </c>
      <c r="B35" s="29" t="n">
        <f aca="false">Drivers!B58*Drivers!B59</f>
        <v>2350000</v>
      </c>
      <c r="C35" s="29" t="n">
        <f aca="false">Drivers!C58*Drivers!C59</f>
        <v>2350000</v>
      </c>
      <c r="D35" s="14" t="s">
        <v>149</v>
      </c>
    </row>
    <row r="36" customFormat="false" ht="15" hidden="false" customHeight="true" outlineLevel="0" collapsed="false">
      <c r="A36" s="10" t="s">
        <v>150</v>
      </c>
      <c r="B36" s="30" t="n">
        <f aca="false">Drivers!B60</f>
        <v>1400000</v>
      </c>
      <c r="C36" s="30" t="n">
        <f aca="false">Drivers!C60</f>
        <v>1400000</v>
      </c>
      <c r="D36" s="14"/>
    </row>
    <row r="37" customFormat="false" ht="15" hidden="false" customHeight="true" outlineLevel="0" collapsed="false">
      <c r="A37" s="10" t="s">
        <v>151</v>
      </c>
      <c r="B37" s="30" t="n">
        <v>0</v>
      </c>
      <c r="C37" s="30" t="n">
        <f aca="false">Drivers!C64</f>
        <v>8000000</v>
      </c>
      <c r="D37" s="3" t="s">
        <v>152</v>
      </c>
    </row>
    <row r="38" customFormat="false" ht="15" hidden="false" customHeight="true" outlineLevel="0" collapsed="false">
      <c r="A38" s="5" t="s">
        <v>153</v>
      </c>
      <c r="B38" s="29" t="n">
        <f aca="false">SUM(B34:B36)</f>
        <v>6450000</v>
      </c>
      <c r="C38" s="29" t="n">
        <f aca="false">SUM(C34:C36)</f>
        <v>6450000</v>
      </c>
      <c r="D38" s="14"/>
    </row>
    <row r="39" customFormat="false" ht="15" hidden="false" customHeight="true" outlineLevel="0" collapsed="false">
      <c r="A39" s="10" t="s">
        <v>154</v>
      </c>
      <c r="B39" s="29" t="n">
        <f aca="false">B38*Drivers!B61</f>
        <v>967500</v>
      </c>
      <c r="C39" s="29" t="n">
        <f aca="false">C38*Drivers!C61</f>
        <v>967500</v>
      </c>
      <c r="D39" s="14"/>
    </row>
    <row r="40" customFormat="false" ht="15" hidden="false" customHeight="true" outlineLevel="0" collapsed="false">
      <c r="A40" s="10" t="s">
        <v>155</v>
      </c>
      <c r="B40" s="29" t="n">
        <f aca="false">(B38+B39)*Drivers!B62</f>
        <v>1483500</v>
      </c>
      <c r="C40" s="29" t="n">
        <f aca="false">(C38+C39)*Drivers!C62</f>
        <v>1483500</v>
      </c>
      <c r="D40" s="14"/>
    </row>
    <row r="41" customFormat="false" ht="15" hidden="false" customHeight="true" outlineLevel="0" collapsed="false">
      <c r="A41" s="10" t="s">
        <v>156</v>
      </c>
      <c r="B41" s="30" t="n">
        <f aca="false">Drivers!B63</f>
        <v>1000000</v>
      </c>
      <c r="C41" s="30" t="n">
        <f aca="false">Drivers!C63</f>
        <v>1000000</v>
      </c>
      <c r="D41" s="14"/>
    </row>
    <row r="42" customFormat="false" ht="15" hidden="false" customHeight="true" outlineLevel="0" collapsed="false">
      <c r="A42" s="4" t="s">
        <v>157</v>
      </c>
      <c r="B42" s="23" t="n">
        <f aca="false">B38+B39+B40+B41+B37</f>
        <v>9901000</v>
      </c>
      <c r="C42" s="23" t="n">
        <f aca="false">C38+C39+C40+C41+C37</f>
        <v>17901000</v>
      </c>
      <c r="D42" s="14" t="s">
        <v>158</v>
      </c>
    </row>
    <row r="43" customFormat="false" ht="15" hidden="false" customHeight="true" outlineLevel="0" collapsed="false">
      <c r="A43" s="1" t="s">
        <v>159</v>
      </c>
      <c r="B43" s="1" t="n">
        <f aca="false">Drivers!B65</f>
        <v>250000</v>
      </c>
      <c r="C43" s="1" t="n">
        <f aca="false">Drivers!C65</f>
        <v>250000</v>
      </c>
    </row>
    <row r="44" customFormat="false" ht="27.75" hidden="false" customHeight="true" outlineLevel="0" collapsed="false">
      <c r="A44" s="26" t="s">
        <v>160</v>
      </c>
      <c r="B44" s="1" t="n">
        <f aca="false">B42+B43</f>
        <v>10151000</v>
      </c>
      <c r="C44" s="1" t="n">
        <f aca="false">C42+C43</f>
        <v>18151000</v>
      </c>
      <c r="D44" s="26" t="s">
        <v>161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8" min="2" style="1" width="13"/>
  </cols>
  <sheetData>
    <row r="1" customFormat="false" ht="17.25" hidden="false" customHeight="true" outlineLevel="0" collapsed="false">
      <c r="A1" s="6" t="s">
        <v>162</v>
      </c>
    </row>
    <row r="2" customFormat="false" ht="15" hidden="false" customHeight="true" outlineLevel="0" collapsed="false">
      <c r="A2" s="3" t="s">
        <v>163</v>
      </c>
    </row>
    <row r="4" customFormat="false" ht="15" hidden="false" customHeight="true" outlineLevel="0" collapsed="false">
      <c r="A4" s="7" t="s">
        <v>164</v>
      </c>
      <c r="B4" s="8"/>
      <c r="C4" s="8"/>
      <c r="D4" s="8"/>
      <c r="E4" s="8"/>
      <c r="F4" s="8"/>
      <c r="G4" s="8"/>
      <c r="H4" s="8"/>
    </row>
    <row r="5" customFormat="false" ht="15" hidden="false" customHeight="true" outlineLevel="0" collapsed="false">
      <c r="A5" s="4" t="s">
        <v>34</v>
      </c>
      <c r="B5" s="35" t="n">
        <v>8</v>
      </c>
      <c r="C5" s="35" t="n">
        <v>9</v>
      </c>
      <c r="D5" s="35" t="n">
        <v>10</v>
      </c>
      <c r="E5" s="35" t="n">
        <v>11</v>
      </c>
      <c r="F5" s="35" t="n">
        <v>12</v>
      </c>
      <c r="G5" s="35" t="n">
        <v>14</v>
      </c>
      <c r="H5" s="35" t="n">
        <v>15</v>
      </c>
    </row>
    <row r="6" customFormat="false" ht="15" hidden="false" customHeight="true" outlineLevel="0" collapsed="false">
      <c r="A6" s="10" t="s">
        <v>165</v>
      </c>
      <c r="B6" s="32" t="n">
        <f aca="false">B5*Drivers!$B$17</f>
        <v>5.6</v>
      </c>
      <c r="C6" s="32" t="n">
        <f aca="false">C5*Drivers!$B$17</f>
        <v>6.3</v>
      </c>
      <c r="D6" s="32" t="n">
        <f aca="false">D5*Drivers!$B$17</f>
        <v>7</v>
      </c>
      <c r="E6" s="32" t="n">
        <f aca="false">E5*Drivers!$B$17</f>
        <v>7.7</v>
      </c>
      <c r="F6" s="32" t="n">
        <f aca="false">F5*Drivers!$B$17</f>
        <v>8.4</v>
      </c>
      <c r="G6" s="32" t="n">
        <f aca="false">G5*Drivers!$B$17</f>
        <v>9.8</v>
      </c>
      <c r="H6" s="32" t="n">
        <f aca="false">H5*Drivers!$B$17</f>
        <v>10.5</v>
      </c>
    </row>
    <row r="7" customFormat="false" ht="15" hidden="false" customHeight="true" outlineLevel="0" collapsed="false">
      <c r="A7" s="10" t="s">
        <v>166</v>
      </c>
      <c r="B7" s="29" t="n">
        <f aca="false">Model!$B$6*B6+Model!$B$13-Model!$B$7</f>
        <v>355900</v>
      </c>
      <c r="C7" s="29" t="n">
        <f aca="false">Model!$B$6*C6+Model!$B$13-Model!$B$7</f>
        <v>376200</v>
      </c>
      <c r="D7" s="29" t="n">
        <f aca="false">Model!$B$6*D6+Model!$B$13-Model!$B$7</f>
        <v>396500</v>
      </c>
      <c r="E7" s="29" t="n">
        <f aca="false">Model!$B$6*E6+Model!$B$13-Model!$B$7</f>
        <v>416800</v>
      </c>
      <c r="F7" s="29" t="n">
        <f aca="false">Model!$B$6*F6+Model!$B$13-Model!$B$7</f>
        <v>437100</v>
      </c>
      <c r="G7" s="29" t="n">
        <f aca="false">Model!$B$6*G6+Model!$B$13-Model!$B$7</f>
        <v>477700</v>
      </c>
      <c r="H7" s="29" t="n">
        <f aca="false">Model!$B$6*H6+Model!$B$13-Model!$B$7</f>
        <v>498000</v>
      </c>
    </row>
    <row r="8" customFormat="false" ht="15" hidden="false" customHeight="true" outlineLevel="0" collapsed="false">
      <c r="A8" s="10" t="s">
        <v>167</v>
      </c>
      <c r="B8" s="29" t="n">
        <f aca="false">Model!$B$17-B7</f>
        <v>1054100</v>
      </c>
      <c r="C8" s="29" t="n">
        <f aca="false">Model!$B$17-C7</f>
        <v>1033800</v>
      </c>
      <c r="D8" s="29" t="n">
        <f aca="false">Model!$B$17-D7</f>
        <v>1013500</v>
      </c>
      <c r="E8" s="29" t="n">
        <f aca="false">Model!$B$17-E7</f>
        <v>993200</v>
      </c>
      <c r="F8" s="29" t="n">
        <f aca="false">Model!$B$17-F7</f>
        <v>972900</v>
      </c>
      <c r="G8" s="29" t="n">
        <f aca="false">Model!$B$17-G7</f>
        <v>932300</v>
      </c>
      <c r="H8" s="29" t="n">
        <f aca="false">Model!$B$17-H7</f>
        <v>912000</v>
      </c>
    </row>
    <row r="9" customFormat="false" ht="15" hidden="false" customHeight="true" outlineLevel="0" collapsed="false">
      <c r="A9" s="10" t="s">
        <v>168</v>
      </c>
      <c r="B9" s="36" t="n">
        <f aca="false">Model!$C$17-(Model!$C$6*B6+Model!$C$13-Model!$C$7)</f>
        <v>1054050</v>
      </c>
      <c r="C9" s="36" t="n">
        <f aca="false">Model!$C$17-(Model!$C$6*C6+Model!$C$13-Model!$C$7)</f>
        <v>1025350</v>
      </c>
      <c r="D9" s="36" t="n">
        <f aca="false">Model!$C$17-(Model!$C$6*D6+Model!$C$13-Model!$C$7)</f>
        <v>996650</v>
      </c>
      <c r="E9" s="36" t="n">
        <f aca="false">Model!$C$17-(Model!$C$6*E6+Model!$C$13-Model!$C$7)</f>
        <v>967950</v>
      </c>
      <c r="F9" s="36" t="n">
        <f aca="false">Model!$C$17-(Model!$C$6*F6+Model!$C$13-Model!$C$7)</f>
        <v>939250</v>
      </c>
      <c r="G9" s="36" t="n">
        <f aca="false">Model!$C$17-(Model!$C$6*G6+Model!$C$13-Model!$C$7)</f>
        <v>881850</v>
      </c>
      <c r="H9" s="36" t="n">
        <f aca="false">Model!$C$17-(Model!$C$6*H6+Model!$C$13-Model!$C$7)</f>
        <v>853150</v>
      </c>
    </row>
    <row r="10" customFormat="false" ht="15" hidden="false" customHeight="true" outlineLevel="0" collapsed="false">
      <c r="A10" s="3" t="s">
        <v>169</v>
      </c>
    </row>
    <row r="12" customFormat="false" ht="15" hidden="false" customHeight="true" outlineLevel="0" collapsed="false">
      <c r="A12" s="7" t="s">
        <v>170</v>
      </c>
      <c r="B12" s="8"/>
      <c r="C12" s="8"/>
      <c r="D12" s="8"/>
      <c r="E12" s="8"/>
      <c r="F12" s="8"/>
      <c r="G12" s="8"/>
      <c r="H12" s="8"/>
    </row>
    <row r="13" customFormat="false" ht="15" hidden="false" customHeight="true" outlineLevel="0" collapsed="false">
      <c r="A13" s="4" t="s">
        <v>171</v>
      </c>
      <c r="B13" s="37" t="n">
        <v>0.7</v>
      </c>
      <c r="C13" s="37" t="n">
        <v>0.85</v>
      </c>
      <c r="D13" s="37" t="n">
        <v>1</v>
      </c>
      <c r="E13" s="37" t="n">
        <v>1.15</v>
      </c>
      <c r="F13" s="37" t="n">
        <v>1.3</v>
      </c>
      <c r="G13" s="37" t="n">
        <v>1.5</v>
      </c>
    </row>
    <row r="14" customFormat="false" ht="15" hidden="false" customHeight="true" outlineLevel="0" collapsed="false">
      <c r="A14" s="10" t="s">
        <v>172</v>
      </c>
      <c r="B14" s="38" t="n">
        <f aca="false">Model!$B$6*B13</f>
        <v>20300</v>
      </c>
      <c r="C14" s="38" t="n">
        <f aca="false">Model!$B$6*C13</f>
        <v>24650</v>
      </c>
      <c r="D14" s="38" t="n">
        <f aca="false">Model!$B$6*D13</f>
        <v>29000</v>
      </c>
      <c r="E14" s="38" t="n">
        <f aca="false">Model!$B$6*E13</f>
        <v>33350</v>
      </c>
      <c r="F14" s="38" t="n">
        <f aca="false">Model!$B$6*F13</f>
        <v>37700</v>
      </c>
      <c r="G14" s="38" t="n">
        <f aca="false">Model!$B$6*G13</f>
        <v>43500</v>
      </c>
    </row>
    <row r="15" customFormat="false" ht="15" hidden="false" customHeight="true" outlineLevel="0" collapsed="false">
      <c r="A15" s="10" t="s">
        <v>167</v>
      </c>
      <c r="B15" s="36" t="n">
        <f aca="false">Model!$B$17-(Model!$B$6*B13*(Drivers!$B$18+Drivers!$B$25)+Drivers!$B$26+Drivers!$B$27+Drivers!$B$28)</f>
        <v>1030610</v>
      </c>
      <c r="C15" s="36" t="n">
        <f aca="false">Model!$B$17-(Model!$B$6*C13*(Drivers!$B$18+Drivers!$B$25)+Drivers!$B$26+Drivers!$B$27+Drivers!$B$28)</f>
        <v>981455</v>
      </c>
      <c r="D15" s="36" t="n">
        <f aca="false">Model!$B$17-(Model!$B$6*D13*(Drivers!$B$18+Drivers!$B$25)+Drivers!$B$26+Drivers!$B$27+Drivers!$B$28)</f>
        <v>932300</v>
      </c>
      <c r="E15" s="36" t="n">
        <f aca="false">Model!$B$17-(Model!$B$6*E13*(Drivers!$B$18+Drivers!$B$25)+Drivers!$B$26+Drivers!$B$27+Drivers!$B$28)</f>
        <v>883145</v>
      </c>
      <c r="F15" s="36" t="n">
        <f aca="false">Model!$B$17-(Model!$B$6*F13*(Drivers!$B$18+Drivers!$B$25)+Drivers!$B$26+Drivers!$B$27+Drivers!$B$28)</f>
        <v>833990</v>
      </c>
      <c r="G15" s="36" t="n">
        <f aca="false">Model!$B$17-(Model!$B$6*G13*(Drivers!$B$18+Drivers!$B$25)+Drivers!$B$26+Drivers!$B$27+Drivers!$B$28)</f>
        <v>768450</v>
      </c>
    </row>
    <row r="16" customFormat="false" ht="15" hidden="false" customHeight="true" outlineLevel="0" collapsed="false">
      <c r="A16" s="10" t="s">
        <v>173</v>
      </c>
      <c r="B16" s="38" t="n">
        <f aca="false">Model!$C$6*B13</f>
        <v>28700</v>
      </c>
      <c r="C16" s="38" t="n">
        <f aca="false">Model!$C$6*C13</f>
        <v>34850</v>
      </c>
      <c r="D16" s="38" t="n">
        <f aca="false">Model!$C$6*D13</f>
        <v>41000</v>
      </c>
      <c r="E16" s="38" t="n">
        <f aca="false">Model!$C$6*E13</f>
        <v>47150</v>
      </c>
      <c r="F16" s="38" t="n">
        <f aca="false">Model!$C$6*F13</f>
        <v>53300</v>
      </c>
      <c r="G16" s="38" t="n">
        <f aca="false">Model!$C$6*G13</f>
        <v>61500</v>
      </c>
    </row>
    <row r="17" customFormat="false" ht="15" hidden="false" customHeight="true" outlineLevel="0" collapsed="false">
      <c r="A17" s="10" t="s">
        <v>168</v>
      </c>
      <c r="B17" s="36" t="n">
        <f aca="false">Model!$C$17-(Model!$C$6*B13*(Drivers!$C$18+Drivers!$C$25+Drivers!$C$20*Drivers!$C$21)+Drivers!$C$26+Drivers!$C$27+Drivers!$C$28)</f>
        <v>1092795</v>
      </c>
      <c r="C17" s="36" t="n">
        <f aca="false">Model!$C$17-(Model!$C$6*C13*(Drivers!$C$18+Drivers!$C$25+Drivers!$C$20*Drivers!$C$21)+Drivers!$C$26+Drivers!$C$27+Drivers!$C$28)</f>
        <v>987322.5</v>
      </c>
      <c r="D17" s="36" t="n">
        <f aca="false">Model!$C$17-(Model!$C$6*D13*(Drivers!$C$18+Drivers!$C$25+Drivers!$C$20*Drivers!$C$21)+Drivers!$C$26+Drivers!$C$27+Drivers!$C$28)</f>
        <v>881850</v>
      </c>
      <c r="E17" s="36" t="n">
        <f aca="false">Model!$C$17-(Model!$C$6*E13*(Drivers!$C$18+Drivers!$C$25+Drivers!$C$20*Drivers!$C$21)+Drivers!$C$26+Drivers!$C$27+Drivers!$C$28)</f>
        <v>776377.5</v>
      </c>
      <c r="F17" s="36" t="n">
        <f aca="false">Model!$C$17-(Model!$C$6*F13*(Drivers!$C$18+Drivers!$C$25+Drivers!$C$20*Drivers!$C$21)+Drivers!$C$26+Drivers!$C$27+Drivers!$C$28)</f>
        <v>670905</v>
      </c>
      <c r="G17" s="36" t="n">
        <f aca="false">Model!$C$17-(Model!$C$6*G13*(Drivers!$C$18+Drivers!$C$25+Drivers!$C$20*Drivers!$C$21)+Drivers!$C$26+Drivers!$C$27+Drivers!$C$28)</f>
        <v>530275</v>
      </c>
    </row>
    <row r="18" customFormat="false" ht="15" hidden="false" customHeight="true" outlineLevel="0" collapsed="false">
      <c r="A18" s="3" t="s">
        <v>174</v>
      </c>
    </row>
    <row r="20" customFormat="false" ht="15" hidden="false" customHeight="true" outlineLevel="0" collapsed="false">
      <c r="A20" s="7" t="s">
        <v>175</v>
      </c>
      <c r="B20" s="8"/>
      <c r="C20" s="8"/>
      <c r="D20" s="8"/>
      <c r="E20" s="8"/>
      <c r="F20" s="8"/>
      <c r="G20" s="8"/>
      <c r="H20" s="8"/>
    </row>
    <row r="21" customFormat="false" ht="15" hidden="false" customHeight="true" outlineLevel="0" collapsed="false">
      <c r="A21" s="4" t="s">
        <v>176</v>
      </c>
      <c r="B21" s="39" t="n">
        <v>0.5</v>
      </c>
      <c r="C21" s="39" t="n">
        <v>0.6</v>
      </c>
      <c r="D21" s="39" t="n">
        <v>0.7</v>
      </c>
      <c r="E21" s="39" t="n">
        <v>0.8</v>
      </c>
      <c r="F21" s="39" t="n">
        <v>0.9</v>
      </c>
    </row>
    <row r="22" customFormat="false" ht="15" hidden="false" customHeight="true" outlineLevel="0" collapsed="false">
      <c r="A22" s="10" t="s">
        <v>177</v>
      </c>
      <c r="B22" s="29" t="n">
        <f aca="false">Model!$C$6*B21*Drivers!$C$21</f>
        <v>164000</v>
      </c>
      <c r="C22" s="29" t="n">
        <f aca="false">Model!$C$6*C21*Drivers!$C$21</f>
        <v>196800</v>
      </c>
      <c r="D22" s="29" t="n">
        <f aca="false">Model!$C$6*D21*Drivers!$C$21</f>
        <v>229600</v>
      </c>
      <c r="E22" s="29" t="n">
        <f aca="false">Model!$C$6*E21*Drivers!$C$21</f>
        <v>262400</v>
      </c>
      <c r="F22" s="29" t="n">
        <f aca="false">Model!$C$6*F21*Drivers!$C$21</f>
        <v>295200</v>
      </c>
    </row>
    <row r="23" customFormat="false" ht="15" hidden="false" customHeight="true" outlineLevel="0" collapsed="false">
      <c r="A23" s="10" t="s">
        <v>168</v>
      </c>
      <c r="B23" s="36" t="n">
        <f aca="false">Model!$C$17-(Model!$C$13-Model!$C$8+Model!$C$6*B21*Drivers!$C$21)</f>
        <v>947450</v>
      </c>
      <c r="C23" s="36" t="n">
        <f aca="false">Model!$C$17-(Model!$C$13-Model!$C$8+Model!$C$6*C21*Drivers!$C$21)</f>
        <v>914650</v>
      </c>
      <c r="D23" s="36" t="n">
        <f aca="false">Model!$C$17-(Model!$C$13-Model!$C$8+Model!$C$6*D21*Drivers!$C$21)</f>
        <v>881850</v>
      </c>
      <c r="E23" s="36" t="n">
        <f aca="false">Model!$C$17-(Model!$C$13-Model!$C$8+Model!$C$6*E21*Drivers!$C$21)</f>
        <v>849050</v>
      </c>
      <c r="F23" s="36" t="n">
        <f aca="false">Model!$C$17-(Model!$C$13-Model!$C$8+Model!$C$6*F21*Drivers!$C$21)</f>
        <v>816250</v>
      </c>
    </row>
    <row r="26" customFormat="false" ht="15" hidden="false" customHeight="true" outlineLevel="0" collapsed="false">
      <c r="A26" s="15" t="s">
        <v>178</v>
      </c>
      <c r="B26" s="8"/>
      <c r="C26" s="8"/>
      <c r="D26" s="8"/>
      <c r="E26" s="8"/>
      <c r="F26" s="8"/>
      <c r="G26" s="8"/>
      <c r="H26" s="8"/>
    </row>
    <row r="27" customFormat="false" ht="15" hidden="false" customHeight="true" outlineLevel="0" collapsed="false">
      <c r="A27" s="4" t="s">
        <v>179</v>
      </c>
      <c r="B27" s="37" t="n">
        <v>0.9</v>
      </c>
      <c r="C27" s="37" t="n">
        <v>0.95</v>
      </c>
      <c r="D27" s="37" t="n">
        <v>1</v>
      </c>
      <c r="E27" s="37" t="n">
        <v>1.05</v>
      </c>
      <c r="F27" s="37" t="n">
        <v>1.1</v>
      </c>
    </row>
    <row r="28" customFormat="false" ht="15" hidden="false" customHeight="true" outlineLevel="0" collapsed="false">
      <c r="A28" s="10" t="s">
        <v>180</v>
      </c>
      <c r="B28" s="29" t="n">
        <f aca="false">Drivers!$B$32*B27</f>
        <v>657000</v>
      </c>
      <c r="C28" s="29" t="n">
        <f aca="false">Drivers!$B$32*C27</f>
        <v>693500</v>
      </c>
      <c r="D28" s="29" t="n">
        <f aca="false">Drivers!$B$32*D27</f>
        <v>730000</v>
      </c>
      <c r="E28" s="29" t="n">
        <f aca="false">Drivers!$B$32*E27</f>
        <v>766500</v>
      </c>
      <c r="F28" s="29" t="n">
        <f aca="false">Drivers!$B$32*F27</f>
        <v>803000</v>
      </c>
    </row>
    <row r="29" customFormat="false" ht="15" hidden="false" customHeight="true" outlineLevel="0" collapsed="false">
      <c r="A29" s="10" t="s">
        <v>167</v>
      </c>
      <c r="B29" s="29" t="n">
        <f aca="false">Model!$B$18+Drivers!$B$32*(B27-1)</f>
        <v>859300</v>
      </c>
      <c r="C29" s="29" t="n">
        <f aca="false">Model!$B$18+Drivers!$B$32*(C27-1)</f>
        <v>895800</v>
      </c>
      <c r="D29" s="29" t="n">
        <f aca="false">Model!$B$18+Drivers!$B$32*(D27-1)</f>
        <v>932300</v>
      </c>
      <c r="E29" s="29" t="n">
        <f aca="false">Model!$B$18+Drivers!$B$32*(E27-1)</f>
        <v>968800</v>
      </c>
      <c r="F29" s="29" t="n">
        <f aca="false">Model!$B$18+Drivers!$B$32*(F27-1)</f>
        <v>1005300</v>
      </c>
    </row>
    <row r="32" customFormat="false" ht="15" hidden="false" customHeight="true" outlineLevel="0" collapsed="false">
      <c r="A32" s="7" t="s">
        <v>181</v>
      </c>
      <c r="B32" s="8"/>
      <c r="C32" s="8"/>
      <c r="D32" s="8"/>
      <c r="E32" s="8"/>
      <c r="F32" s="8"/>
      <c r="G32" s="8"/>
      <c r="H32" s="8"/>
    </row>
    <row r="33" customFormat="false" ht="15" hidden="false" customHeight="true" outlineLevel="0" collapsed="false">
      <c r="A33" s="9" t="s">
        <v>182</v>
      </c>
      <c r="B33" s="9" t="s">
        <v>183</v>
      </c>
      <c r="C33" s="9" t="s">
        <v>184</v>
      </c>
    </row>
    <row r="34" customFormat="false" ht="15" hidden="false" customHeight="true" outlineLevel="0" collapsed="false">
      <c r="A34" s="10" t="s">
        <v>34</v>
      </c>
      <c r="B34" s="14" t="s">
        <v>185</v>
      </c>
      <c r="C34" s="29" t="n">
        <f aca="false">-2*'Admission Mix'!B5*Model!B6</f>
        <v>-23200</v>
      </c>
    </row>
    <row r="35" customFormat="false" ht="15" hidden="false" customHeight="true" outlineLevel="0" collapsed="false">
      <c r="A35" s="10" t="s">
        <v>186</v>
      </c>
      <c r="B35" s="14" t="s">
        <v>187</v>
      </c>
      <c r="C35" s="29" t="n">
        <f aca="false">-5000*(Drivers!B18+Drivers!B25)</f>
        <v>-56500</v>
      </c>
    </row>
    <row r="36" customFormat="false" ht="15" hidden="false" customHeight="true" outlineLevel="0" collapsed="false">
      <c r="A36" s="5" t="s">
        <v>188</v>
      </c>
      <c r="B36" s="14" t="s">
        <v>189</v>
      </c>
      <c r="C36" s="29" t="n">
        <f aca="false">-8500*(Drivers!B67+Drivers!B68)</f>
        <v>-65875</v>
      </c>
    </row>
    <row r="37" customFormat="false" ht="15" hidden="false" customHeight="true" outlineLevel="0" collapsed="false">
      <c r="A37" s="10" t="s">
        <v>180</v>
      </c>
      <c r="B37" s="14" t="s">
        <v>190</v>
      </c>
      <c r="C37" s="29" t="n">
        <f aca="false">-0.1*Drivers!B32</f>
        <v>-73000</v>
      </c>
    </row>
    <row r="38" customFormat="false" ht="15" hidden="false" customHeight="true" outlineLevel="0" collapsed="false">
      <c r="A38" s="10" t="s">
        <v>191</v>
      </c>
      <c r="B38" s="14" t="s">
        <v>192</v>
      </c>
      <c r="C38" s="29" t="n">
        <f aca="false">-0.5*Drivers!B36</f>
        <v>-40000</v>
      </c>
    </row>
    <row r="39" customFormat="false" ht="15" hidden="false" customHeight="true" outlineLevel="0" collapsed="false">
      <c r="A39" s="10" t="s">
        <v>193</v>
      </c>
      <c r="B39" s="14" t="s">
        <v>194</v>
      </c>
      <c r="C39" s="29" t="n">
        <f aca="false">-Drivers!B27</f>
        <v>-65000</v>
      </c>
    </row>
    <row r="40" customFormat="false" ht="15" hidden="false" customHeight="true" outlineLevel="0" collapsed="false">
      <c r="A40" s="5" t="s">
        <v>195</v>
      </c>
      <c r="B40" s="14" t="s">
        <v>196</v>
      </c>
      <c r="C40" s="29" t="n">
        <f aca="false">-Drivers!B46</f>
        <v>-225000</v>
      </c>
    </row>
    <row r="41" customFormat="false" ht="15" hidden="false" customHeight="true" outlineLevel="0" collapsed="false">
      <c r="A41" s="3" t="s">
        <v>197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7" min="2" style="1" width="13"/>
  </cols>
  <sheetData>
    <row r="1" customFormat="false" ht="17.25" hidden="false" customHeight="true" outlineLevel="0" collapsed="false">
      <c r="A1" s="6" t="s">
        <v>198</v>
      </c>
    </row>
    <row r="2" customFormat="false" ht="15" hidden="false" customHeight="true" outlineLevel="0" collapsed="false">
      <c r="A2" s="14" t="s">
        <v>199</v>
      </c>
    </row>
    <row r="4" customFormat="false" ht="15" hidden="false" customHeight="true" outlineLevel="0" collapsed="false">
      <c r="A4" s="9"/>
      <c r="B4" s="9" t="s">
        <v>200</v>
      </c>
      <c r="C4" s="9" t="s">
        <v>201</v>
      </c>
      <c r="D4" s="9" t="s">
        <v>202</v>
      </c>
      <c r="E4" s="9" t="s">
        <v>203</v>
      </c>
      <c r="F4" s="9" t="s">
        <v>204</v>
      </c>
      <c r="G4" s="9" t="s">
        <v>205</v>
      </c>
    </row>
    <row r="5" customFormat="false" ht="15" hidden="false" customHeight="true" outlineLevel="0" collapsed="false">
      <c r="A5" s="10" t="s">
        <v>206</v>
      </c>
      <c r="B5" s="12" t="n">
        <v>17800</v>
      </c>
      <c r="C5" s="12" t="n">
        <v>29000</v>
      </c>
      <c r="D5" s="12" t="n">
        <v>36000</v>
      </c>
      <c r="E5" s="12" t="n">
        <v>27000</v>
      </c>
      <c r="F5" s="12" t="n">
        <v>41000</v>
      </c>
      <c r="G5" s="12" t="n">
        <v>43000</v>
      </c>
    </row>
    <row r="6" customFormat="false" ht="15" hidden="false" customHeight="true" outlineLevel="0" collapsed="false">
      <c r="A6" s="10" t="s">
        <v>207</v>
      </c>
      <c r="B6" s="21" t="n">
        <v>1330000</v>
      </c>
      <c r="C6" s="21" t="n">
        <v>1410000</v>
      </c>
      <c r="D6" s="21" t="n">
        <v>1466000</v>
      </c>
      <c r="E6" s="21" t="n">
        <v>1710000</v>
      </c>
      <c r="F6" s="21" t="n">
        <v>1810000</v>
      </c>
      <c r="G6" s="21" t="n">
        <v>1828000</v>
      </c>
    </row>
    <row r="7" customFormat="false" ht="15" hidden="false" customHeight="true" outlineLevel="0" collapsed="false">
      <c r="A7" s="10" t="s">
        <v>208</v>
      </c>
      <c r="B7" s="29" t="n">
        <f aca="false">B5*(Drivers!$B$18+Drivers!$B$25)+(Drivers!$B$26+Drivers!$B$27+Drivers!$B$28)*B5/Drivers!$B$11</f>
        <v>293208.965517241</v>
      </c>
      <c r="C7" s="29" t="n">
        <f aca="false">C5*(Drivers!$B$18+Drivers!$B$25)+(Drivers!$B$26+Drivers!$B$27+Drivers!$B$28)*C5/Drivers!$B$11</f>
        <v>477700</v>
      </c>
      <c r="D7" s="29" t="n">
        <f aca="false">D5*(Drivers!$B$18+Drivers!$B$25)+(Drivers!$B$26+Drivers!$B$27+Drivers!$B$28)*D5/Drivers!$B$11</f>
        <v>593006.896551724</v>
      </c>
      <c r="E7" s="29" t="n">
        <f aca="false">E5*(Drivers!$C$18+Drivers!$C$25+Drivers!$C$20*Drivers!$C$21)+(Drivers!$C$26+Drivers!$C$27+Drivers!$C$28)*E5/Drivers!$C$11</f>
        <v>611220.731707317</v>
      </c>
      <c r="F7" s="29" t="n">
        <f aca="false">F5*(Drivers!$C$18+Drivers!$C$25+Drivers!$C$20*Drivers!$C$21)+(Drivers!$C$26+Drivers!$C$27+Drivers!$C$28)*F5/Drivers!$C$11</f>
        <v>928150</v>
      </c>
      <c r="G7" s="29" t="n">
        <f aca="false">G5*(Drivers!$C$18+Drivers!$C$25+Drivers!$C$20*Drivers!$C$21)+(Drivers!$C$26+Drivers!$C$27+Drivers!$C$28)*G5/Drivers!$C$11</f>
        <v>973425.609756097</v>
      </c>
    </row>
    <row r="8" customFormat="false" ht="15" hidden="false" customHeight="true" outlineLevel="0" collapsed="false">
      <c r="A8" s="4" t="s">
        <v>209</v>
      </c>
      <c r="B8" s="23" t="n">
        <f aca="false">B6-B7</f>
        <v>1036791.03448276</v>
      </c>
      <c r="C8" s="23" t="n">
        <f aca="false">C6-C7</f>
        <v>932300</v>
      </c>
      <c r="D8" s="23" t="n">
        <f aca="false">D6-D7</f>
        <v>872993.103448276</v>
      </c>
      <c r="E8" s="23" t="n">
        <f aca="false">E6-E7</f>
        <v>1098779.26829268</v>
      </c>
      <c r="F8" s="23" t="n">
        <f aca="false">F6-F7</f>
        <v>881850</v>
      </c>
      <c r="G8" s="23" t="n">
        <f aca="false">G6-G7</f>
        <v>854574.390243903</v>
      </c>
    </row>
    <row r="9" customFormat="false" ht="15" hidden="false" customHeight="true" outlineLevel="0" collapsed="false">
      <c r="A9" s="10" t="s">
        <v>210</v>
      </c>
      <c r="B9" s="31" t="n">
        <f aca="false">B7/B6</f>
        <v>0.220457868809956</v>
      </c>
      <c r="C9" s="31" t="n">
        <f aca="false">C7/C6</f>
        <v>0.338794326241135</v>
      </c>
      <c r="D9" s="31" t="n">
        <f aca="false">D7/D6</f>
        <v>0.404506750717411</v>
      </c>
      <c r="E9" s="31" t="n">
        <f aca="false">E7/E6</f>
        <v>0.357439024390244</v>
      </c>
      <c r="F9" s="31" t="n">
        <f aca="false">F7/F6</f>
        <v>0.512790055248619</v>
      </c>
      <c r="G9" s="31" t="n">
        <f aca="false">G7/G6</f>
        <v>0.532508539253883</v>
      </c>
    </row>
    <row r="10" customFormat="false" ht="15" hidden="false" customHeight="true" outlineLevel="0" collapsed="false">
      <c r="A10" s="10" t="s">
        <v>211</v>
      </c>
      <c r="B10" s="29" t="n">
        <f aca="false">Drivers!$B$51</f>
        <v>650000</v>
      </c>
      <c r="C10" s="29" t="n">
        <f aca="false">Drivers!$B$51</f>
        <v>650000</v>
      </c>
      <c r="D10" s="29" t="n">
        <f aca="false">Drivers!$B$51</f>
        <v>650000</v>
      </c>
      <c r="E10" s="29" t="n">
        <f aca="false">Drivers!$C$51</f>
        <v>650000</v>
      </c>
      <c r="F10" s="29" t="n">
        <f aca="false">Drivers!$C$51</f>
        <v>650000</v>
      </c>
      <c r="G10" s="29" t="n">
        <f aca="false">Drivers!$C$51</f>
        <v>650000</v>
      </c>
    </row>
    <row r="11" customFormat="false" ht="15" hidden="false" customHeight="true" outlineLevel="0" collapsed="false">
      <c r="A11" s="4" t="s">
        <v>212</v>
      </c>
      <c r="B11" s="23" t="n">
        <f aca="false">B10-B8</f>
        <v>-386791.034482759</v>
      </c>
      <c r="C11" s="23" t="n">
        <f aca="false">C10-C8</f>
        <v>-282300</v>
      </c>
      <c r="D11" s="23" t="n">
        <f aca="false">D10-D8</f>
        <v>-222993.103448276</v>
      </c>
      <c r="E11" s="23" t="n">
        <f aca="false">E10-E8</f>
        <v>-448779.268292683</v>
      </c>
      <c r="F11" s="23" t="n">
        <f aca="false">F10-F8</f>
        <v>-231850</v>
      </c>
      <c r="G11" s="23" t="n">
        <f aca="false">G10-G8</f>
        <v>-204574.390243903</v>
      </c>
    </row>
    <row r="13" customFormat="false" ht="15" hidden="false" customHeight="true" outlineLevel="0" collapsed="false">
      <c r="A13" s="14" t="s">
        <v>213</v>
      </c>
    </row>
    <row r="14" customFormat="false" ht="15" hidden="false" customHeight="true" outlineLevel="0" collapsed="false">
      <c r="A14" s="14" t="s">
        <v>214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4" min="2" style="1" width="15"/>
    <col collapsed="false" customWidth="true" hidden="false" outlineLevel="0" max="5" min="5" style="1" width="72"/>
  </cols>
  <sheetData>
    <row r="1" customFormat="false" ht="17.25" hidden="false" customHeight="true" outlineLevel="0" collapsed="false">
      <c r="A1" s="2" t="s">
        <v>215</v>
      </c>
    </row>
    <row r="2" customFormat="false" ht="15" hidden="false" customHeight="true" outlineLevel="0" collapsed="false">
      <c r="A2" s="3" t="s">
        <v>216</v>
      </c>
    </row>
    <row r="4" customFormat="false" ht="15" hidden="false" customHeight="true" outlineLevel="0" collapsed="false">
      <c r="A4" s="9" t="s">
        <v>217</v>
      </c>
      <c r="B4" s="9" t="s">
        <v>218</v>
      </c>
      <c r="C4" s="9" t="s">
        <v>219</v>
      </c>
      <c r="D4" s="9" t="s">
        <v>220</v>
      </c>
      <c r="E4" s="9" t="s">
        <v>20</v>
      </c>
    </row>
    <row r="5" customFormat="false" ht="15" hidden="false" customHeight="true" outlineLevel="0" collapsed="false">
      <c r="A5" s="10" t="s">
        <v>221</v>
      </c>
      <c r="B5" s="20" t="n">
        <v>0.4</v>
      </c>
      <c r="C5" s="32" t="n">
        <f aca="false">Drivers!B15</f>
        <v>14</v>
      </c>
      <c r="D5" s="32" t="n">
        <f aca="false">B5*C5</f>
        <v>5.6</v>
      </c>
      <c r="E5" s="3" t="s">
        <v>222</v>
      </c>
    </row>
    <row r="6" customFormat="false" ht="15" hidden="false" customHeight="true" outlineLevel="0" collapsed="false">
      <c r="A6" s="10" t="s">
        <v>223</v>
      </c>
      <c r="B6" s="20" t="n">
        <v>0.3</v>
      </c>
      <c r="C6" s="32" t="n">
        <f aca="false">Drivers!B16</f>
        <v>8</v>
      </c>
      <c r="D6" s="32" t="n">
        <f aca="false">B6*C6</f>
        <v>2.4</v>
      </c>
      <c r="E6" s="3" t="s">
        <v>224</v>
      </c>
    </row>
    <row r="7" customFormat="false" ht="15" hidden="false" customHeight="true" outlineLevel="0" collapsed="false">
      <c r="A7" s="10" t="s">
        <v>225</v>
      </c>
      <c r="B7" s="20" t="n">
        <v>0.15</v>
      </c>
      <c r="C7" s="32" t="n">
        <v>12</v>
      </c>
      <c r="D7" s="32" t="n">
        <f aca="false">B7*C7</f>
        <v>1.8</v>
      </c>
      <c r="E7" s="3" t="s">
        <v>226</v>
      </c>
    </row>
    <row r="8" customFormat="false" ht="15" hidden="false" customHeight="true" outlineLevel="0" collapsed="false">
      <c r="A8" s="10" t="s">
        <v>227</v>
      </c>
      <c r="B8" s="20" t="n">
        <v>0.06</v>
      </c>
      <c r="C8" s="17" t="n">
        <v>0</v>
      </c>
      <c r="D8" s="32" t="n">
        <f aca="false">B8*C8</f>
        <v>0</v>
      </c>
      <c r="E8" s="14"/>
    </row>
    <row r="9" customFormat="false" ht="15" hidden="false" customHeight="true" outlineLevel="0" collapsed="false">
      <c r="A9" s="10" t="s">
        <v>228</v>
      </c>
      <c r="B9" s="20" t="n">
        <v>0.04</v>
      </c>
      <c r="C9" s="17" t="n">
        <v>0</v>
      </c>
      <c r="D9" s="32" t="n">
        <f aca="false">B9*C9</f>
        <v>0</v>
      </c>
      <c r="E9" s="14" t="s">
        <v>229</v>
      </c>
    </row>
    <row r="10" customFormat="false" ht="15" hidden="false" customHeight="true" outlineLevel="0" collapsed="false">
      <c r="A10" s="10" t="s">
        <v>230</v>
      </c>
      <c r="B10" s="20" t="n">
        <v>0.05</v>
      </c>
      <c r="C10" s="32" t="n">
        <v>0</v>
      </c>
      <c r="D10" s="32" t="n">
        <f aca="false">B10*C10</f>
        <v>0</v>
      </c>
      <c r="E10" s="3" t="s">
        <v>231</v>
      </c>
    </row>
    <row r="11" customFormat="false" ht="15" hidden="false" customHeight="true" outlineLevel="0" collapsed="false">
      <c r="A11" s="4" t="s">
        <v>232</v>
      </c>
      <c r="B11" s="40" t="n">
        <f aca="false">SUM(B5:B10)</f>
        <v>1</v>
      </c>
      <c r="D11" s="19" t="n">
        <f aca="false">SUM(D5:D10)</f>
        <v>9.8</v>
      </c>
      <c r="E11" s="3" t="s">
        <v>233</v>
      </c>
    </row>
    <row r="13" customFormat="false" ht="15" hidden="false" customHeight="true" outlineLevel="0" collapsed="false">
      <c r="A13" s="5" t="s">
        <v>234</v>
      </c>
      <c r="B13" s="41" t="n">
        <f aca="false">D11/Drivers!B15</f>
        <v>0.7</v>
      </c>
    </row>
    <row r="15" customFormat="false" ht="15" hidden="false" customHeight="true" outlineLevel="0" collapsed="false">
      <c r="A15" s="4" t="s">
        <v>235</v>
      </c>
    </row>
    <row r="16" customFormat="false" ht="15" hidden="false" customHeight="true" outlineLevel="0" collapsed="false">
      <c r="A16" s="5" t="s">
        <v>236</v>
      </c>
      <c r="B16" s="32" t="n">
        <f aca="false">B5*16+B6*C6+B7*C7</f>
        <v>10.6</v>
      </c>
    </row>
    <row r="17" customFormat="false" ht="30" hidden="false" customHeight="true" outlineLevel="0" collapsed="false">
      <c r="A17" s="5" t="s">
        <v>237</v>
      </c>
      <c r="B17" s="42" t="n">
        <f aca="false">(B16-D11)*Drivers!B11</f>
        <v>23200</v>
      </c>
      <c r="E17" s="3" t="s">
        <v>238</v>
      </c>
    </row>
  </sheetData>
  <dataValidations count="1">
    <dataValidation allowBlank="true" error="Enter a share between 0 and 1 (e.g., 0.40 for 40%). The mix must total 100%; see the Checks tab." errorStyle="stop" errorTitle="Invalid share" operator="between" showDropDown="false" showErrorMessage="true" showInputMessage="false" sqref="B5:B10"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4" min="2" style="1" width="16"/>
    <col collapsed="false" customWidth="true" hidden="false" outlineLevel="0" max="5" min="5" style="1" width="60"/>
  </cols>
  <sheetData>
    <row r="1" customFormat="false" ht="17.25" hidden="false" customHeight="true" outlineLevel="0" collapsed="false">
      <c r="A1" s="6" t="s">
        <v>239</v>
      </c>
    </row>
    <row r="2" customFormat="false" ht="24" hidden="false" customHeight="true" outlineLevel="0" collapsed="false">
      <c r="A2" s="43" t="s">
        <v>240</v>
      </c>
      <c r="B2" s="43"/>
      <c r="C2" s="43"/>
      <c r="D2" s="43"/>
      <c r="E2" s="43"/>
    </row>
    <row r="4" customFormat="false" ht="15" hidden="false" customHeight="true" outlineLevel="0" collapsed="false">
      <c r="A4" s="15" t="s">
        <v>241</v>
      </c>
      <c r="B4" s="15"/>
      <c r="C4" s="15"/>
      <c r="D4" s="15"/>
      <c r="E4" s="15"/>
    </row>
    <row r="5" customFormat="false" ht="15" hidden="false" customHeight="true" outlineLevel="0" collapsed="false">
      <c r="A5" s="9" t="s">
        <v>242</v>
      </c>
      <c r="B5" s="9" t="s">
        <v>243</v>
      </c>
      <c r="C5" s="9" t="s">
        <v>244</v>
      </c>
      <c r="D5" s="9" t="s">
        <v>20</v>
      </c>
      <c r="E5" s="9"/>
    </row>
    <row r="6" customFormat="false" ht="27.75" hidden="false" customHeight="true" outlineLevel="0" collapsed="false">
      <c r="A6" s="10" t="s">
        <v>245</v>
      </c>
      <c r="B6" s="44" t="n">
        <v>45768</v>
      </c>
      <c r="E6" s="45" t="s">
        <v>246</v>
      </c>
    </row>
    <row r="7" customFormat="false" ht="18.75" hidden="false" customHeight="true" outlineLevel="0" collapsed="false">
      <c r="A7" s="10" t="s">
        <v>247</v>
      </c>
      <c r="B7" s="46" t="n">
        <v>2486365</v>
      </c>
      <c r="C7" s="46" t="n">
        <v>86874</v>
      </c>
      <c r="E7" s="45" t="s">
        <v>248</v>
      </c>
    </row>
    <row r="8" customFormat="false" ht="18.75" hidden="false" customHeight="true" outlineLevel="0" collapsed="false">
      <c r="A8" s="10" t="s">
        <v>249</v>
      </c>
      <c r="B8" s="46" t="n">
        <v>2277741</v>
      </c>
      <c r="C8" s="46" t="n">
        <v>79810</v>
      </c>
      <c r="E8" s="45" t="s">
        <v>250</v>
      </c>
    </row>
    <row r="9" customFormat="false" ht="18.75" hidden="false" customHeight="true" outlineLevel="0" collapsed="false">
      <c r="A9" s="10" t="s">
        <v>251</v>
      </c>
      <c r="B9" s="46" t="n">
        <v>208623</v>
      </c>
      <c r="C9" s="46" t="n">
        <v>7063</v>
      </c>
      <c r="E9" s="45" t="s">
        <v>252</v>
      </c>
    </row>
    <row r="10" customFormat="false" ht="15" hidden="false" customHeight="true" outlineLevel="0" collapsed="false">
      <c r="A10" s="10" t="s">
        <v>253</v>
      </c>
      <c r="B10" s="46" t="n">
        <v>112389</v>
      </c>
      <c r="C10" s="46" t="n">
        <v>3692</v>
      </c>
      <c r="E10" s="45" t="s">
        <v>254</v>
      </c>
    </row>
    <row r="12" customFormat="false" ht="15" hidden="false" customHeight="true" outlineLevel="0" collapsed="false">
      <c r="A12" s="15" t="s">
        <v>255</v>
      </c>
      <c r="B12" s="15"/>
      <c r="C12" s="15"/>
      <c r="D12" s="15"/>
      <c r="E12" s="15"/>
    </row>
    <row r="13" customFormat="false" ht="15" hidden="false" customHeight="true" outlineLevel="0" collapsed="false">
      <c r="A13" s="9" t="s">
        <v>256</v>
      </c>
      <c r="B13" s="9" t="s">
        <v>257</v>
      </c>
      <c r="C13" s="9" t="s">
        <v>19</v>
      </c>
      <c r="D13" s="9" t="s">
        <v>20</v>
      </c>
      <c r="E13" s="9"/>
    </row>
    <row r="14" customFormat="false" ht="18.75" hidden="false" customHeight="true" outlineLevel="0" collapsed="false">
      <c r="A14" s="10" t="s">
        <v>258</v>
      </c>
      <c r="B14" s="47" t="n">
        <f aca="false">(B7-C7)/$B$6</f>
        <v>52.4272635902814</v>
      </c>
      <c r="C14" s="47" t="n">
        <f aca="false">B7/$B$6</f>
        <v>54.3254020276176</v>
      </c>
      <c r="E14" s="45" t="s">
        <v>259</v>
      </c>
    </row>
    <row r="15" customFormat="false" ht="15" hidden="false" customHeight="true" outlineLevel="0" collapsed="false">
      <c r="A15" s="10" t="s">
        <v>260</v>
      </c>
      <c r="B15" s="47" t="n">
        <f aca="false">(B8-C8)/$B$6</f>
        <v>48.0233132319525</v>
      </c>
      <c r="C15" s="47" t="n">
        <f aca="false">B8/$B$6</f>
        <v>49.7671080230729</v>
      </c>
    </row>
    <row r="16" customFormat="false" ht="15" hidden="false" customHeight="true" outlineLevel="0" collapsed="false">
      <c r="A16" s="10" t="s">
        <v>261</v>
      </c>
      <c r="B16" s="47" t="n">
        <f aca="false">(B9-C9)/$B$6</f>
        <v>4.40395035832896</v>
      </c>
      <c r="C16" s="47" t="n">
        <f aca="false">B9/$B$6</f>
        <v>4.55827215521762</v>
      </c>
    </row>
    <row r="17" customFormat="false" ht="15" hidden="false" customHeight="true" outlineLevel="0" collapsed="false">
      <c r="A17" s="10" t="s">
        <v>262</v>
      </c>
      <c r="B17" s="47" t="n">
        <f aca="false">(B10-C10)/$B$6</f>
        <v>2.37495630134592</v>
      </c>
      <c r="C17" s="47" t="n">
        <f aca="false">B10/$B$6</f>
        <v>2.45562401678028</v>
      </c>
    </row>
    <row r="19" customFormat="false" ht="15" hidden="false" customHeight="true" outlineLevel="0" collapsed="false">
      <c r="A19" s="15" t="s">
        <v>263</v>
      </c>
      <c r="B19" s="15"/>
      <c r="C19" s="15"/>
      <c r="D19" s="15"/>
      <c r="E19" s="15"/>
    </row>
    <row r="20" customFormat="false" ht="15" hidden="false" customHeight="true" outlineLevel="0" collapsed="false">
      <c r="A20" s="9" t="s">
        <v>242</v>
      </c>
      <c r="B20" s="9" t="s">
        <v>18</v>
      </c>
      <c r="C20" s="9" t="s">
        <v>19</v>
      </c>
      <c r="D20" s="9" t="s">
        <v>20</v>
      </c>
      <c r="E20" s="9"/>
    </row>
    <row r="21" customFormat="false" ht="18.75" hidden="false" customHeight="true" outlineLevel="0" collapsed="false">
      <c r="A21" s="10" t="s">
        <v>264</v>
      </c>
      <c r="B21" s="48" t="n">
        <f aca="false">Drivers!B11</f>
        <v>29000</v>
      </c>
      <c r="C21" s="48" t="n">
        <f aca="false">Drivers!C11</f>
        <v>41000</v>
      </c>
      <c r="E21" s="45" t="s">
        <v>265</v>
      </c>
    </row>
    <row r="22" customFormat="false" ht="15" hidden="false" customHeight="true" outlineLevel="0" collapsed="false">
      <c r="A22" s="10" t="s">
        <v>266</v>
      </c>
      <c r="B22" s="49" t="n">
        <f aca="false">B21*B14</f>
        <v>1520390.64411816</v>
      </c>
      <c r="C22" s="49" t="n">
        <f aca="false">C21*C14</f>
        <v>2227341.48313232</v>
      </c>
    </row>
    <row r="23" customFormat="false" ht="15" hidden="false" customHeight="true" outlineLevel="0" collapsed="false">
      <c r="A23" s="10" t="s">
        <v>249</v>
      </c>
      <c r="B23" s="49" t="n">
        <f aca="false">B21*B15</f>
        <v>1392676.08372662</v>
      </c>
      <c r="C23" s="49" t="n">
        <f aca="false">C21*C15</f>
        <v>2040451.42894599</v>
      </c>
    </row>
    <row r="24" customFormat="false" ht="15" hidden="false" customHeight="true" outlineLevel="0" collapsed="false">
      <c r="A24" s="10" t="s">
        <v>251</v>
      </c>
      <c r="B24" s="49" t="n">
        <f aca="false">B21*B16</f>
        <v>127714.56039154</v>
      </c>
      <c r="C24" s="49" t="n">
        <f aca="false">C21*C16</f>
        <v>186889.158363922</v>
      </c>
    </row>
    <row r="25" customFormat="false" ht="15" hidden="false" customHeight="true" outlineLevel="0" collapsed="false">
      <c r="A25" s="4" t="s">
        <v>253</v>
      </c>
      <c r="B25" s="50" t="n">
        <f aca="false">B21*B17</f>
        <v>68873.7327390316</v>
      </c>
      <c r="C25" s="50" t="n">
        <f aca="false">C21*C17</f>
        <v>100680.584687992</v>
      </c>
    </row>
    <row r="26" customFormat="false" ht="27.75" hidden="false" customHeight="true" outlineLevel="0" collapsed="false">
      <c r="A26" s="10" t="s">
        <v>267</v>
      </c>
      <c r="B26" s="51" t="n">
        <f aca="false">B25/$B$27</f>
        <v>0.306105478840141</v>
      </c>
      <c r="C26" s="51" t="n">
        <f aca="false">C25/$B$27</f>
        <v>0.447469265279963</v>
      </c>
      <c r="E26" s="45" t="s">
        <v>268</v>
      </c>
    </row>
    <row r="27" customFormat="false" ht="15" hidden="false" customHeight="true" outlineLevel="0" collapsed="false">
      <c r="A27" s="10" t="s">
        <v>269</v>
      </c>
      <c r="B27" s="52" t="n">
        <v>225000</v>
      </c>
      <c r="E27" s="45" t="s">
        <v>270</v>
      </c>
    </row>
    <row r="29" customFormat="false" ht="15" hidden="false" customHeight="true" outlineLevel="0" collapsed="false">
      <c r="A29" s="15" t="s">
        <v>271</v>
      </c>
      <c r="B29" s="15"/>
      <c r="C29" s="15"/>
      <c r="D29" s="15"/>
      <c r="E29" s="15"/>
    </row>
    <row r="30" customFormat="false" ht="15" hidden="false" customHeight="true" outlineLevel="0" collapsed="false">
      <c r="A30" s="10" t="s">
        <v>272</v>
      </c>
      <c r="B30" s="53" t="s">
        <v>273</v>
      </c>
      <c r="E30" s="45" t="s">
        <v>274</v>
      </c>
    </row>
    <row r="31" customFormat="false" ht="15" hidden="false" customHeight="true" outlineLevel="0" collapsed="false">
      <c r="A31" s="10" t="s">
        <v>275</v>
      </c>
      <c r="B31" s="53" t="s">
        <v>273</v>
      </c>
      <c r="E31" s="45" t="s">
        <v>276</v>
      </c>
    </row>
    <row r="32" customFormat="false" ht="15" hidden="false" customHeight="true" outlineLevel="0" collapsed="false">
      <c r="A32" s="10" t="s">
        <v>277</v>
      </c>
      <c r="B32" s="53" t="s">
        <v>273</v>
      </c>
      <c r="E32" s="45" t="s">
        <v>278</v>
      </c>
    </row>
    <row r="33" customFormat="false" ht="15" hidden="false" customHeight="true" outlineLevel="0" collapsed="false">
      <c r="A33" s="10" t="s">
        <v>279</v>
      </c>
      <c r="B33" s="53" t="s">
        <v>273</v>
      </c>
      <c r="E33" s="45" t="s">
        <v>280</v>
      </c>
    </row>
    <row r="34" customFormat="false" ht="15" hidden="false" customHeight="true" outlineLevel="0" collapsed="false">
      <c r="A34" s="10" t="s">
        <v>281</v>
      </c>
      <c r="B34" s="53" t="s">
        <v>273</v>
      </c>
      <c r="E34" s="45" t="s">
        <v>282</v>
      </c>
    </row>
    <row r="35" customFormat="false" ht="15" hidden="false" customHeight="true" outlineLevel="0" collapsed="false">
      <c r="A35" s="10" t="s">
        <v>283</v>
      </c>
      <c r="B35" s="53" t="s">
        <v>284</v>
      </c>
      <c r="E35" s="45" t="s">
        <v>285</v>
      </c>
    </row>
    <row r="36" customFormat="false" ht="18.75" hidden="false" customHeight="true" outlineLevel="0" collapsed="false">
      <c r="A36" s="10" t="s">
        <v>286</v>
      </c>
      <c r="B36" s="4" t="s">
        <v>287</v>
      </c>
      <c r="E36" s="45" t="s">
        <v>288</v>
      </c>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2" min="2" style="1" width="16"/>
    <col collapsed="false" customWidth="true" hidden="false" outlineLevel="0" max="3" min="3" style="1" width="70"/>
  </cols>
  <sheetData>
    <row r="1" customFormat="false" ht="15" hidden="false" customHeight="true" outlineLevel="0" collapsed="false">
      <c r="A1" s="26" t="s">
        <v>289</v>
      </c>
    </row>
    <row r="3" customFormat="false" ht="15" hidden="false" customHeight="true" outlineLevel="0" collapsed="false">
      <c r="A3" s="1" t="s">
        <v>290</v>
      </c>
      <c r="B3" s="1" t="s">
        <v>291</v>
      </c>
      <c r="C3" s="1" t="s">
        <v>292</v>
      </c>
    </row>
    <row r="4" customFormat="false" ht="15" hidden="false" customHeight="true" outlineLevel="0" collapsed="false">
      <c r="A4" s="1" t="s">
        <v>293</v>
      </c>
      <c r="B4" s="26" t="str">
        <f aca="false">IF(ABS('Admission Mix'!B11-1)&lt;0.0001,"PASS","FAIL")</f>
        <v>PASS</v>
      </c>
      <c r="C4" s="26" t="s">
        <v>294</v>
      </c>
    </row>
    <row r="5" customFormat="false" ht="15" hidden="false" customHeight="true" outlineLevel="0" collapsed="false">
      <c r="A5" s="26" t="s">
        <v>295</v>
      </c>
      <c r="B5" s="26" t="str">
        <f aca="false">IF(ABS('Admission Mix'!D11-Drivers!B18)&lt;0.005,"PASS","FAIL")</f>
        <v>PASS</v>
      </c>
      <c r="C5" s="26" t="s">
        <v>296</v>
      </c>
    </row>
    <row r="6" customFormat="false" ht="15" hidden="false" customHeight="true" outlineLevel="0" collapsed="false">
      <c r="A6" s="26" t="s">
        <v>297</v>
      </c>
      <c r="B6" s="26" t="str">
        <f aca="false">IF(ABS(Model!B18-(Model!B17-Model!B13))&lt;0.01,"PASS","FAIL")</f>
        <v>PASS</v>
      </c>
      <c r="C6" s="1" t="s">
        <v>298</v>
      </c>
    </row>
    <row r="7" customFormat="false" ht="15" hidden="false" customHeight="true" outlineLevel="0" collapsed="false">
      <c r="A7" s="1" t="s">
        <v>299</v>
      </c>
      <c r="B7" s="26" t="str">
        <f aca="false">IF(ABS(Model!C18-(Model!C17-Model!C13))&lt;0.01,"PASS","FAIL")</f>
        <v>PASS</v>
      </c>
    </row>
    <row r="8" customFormat="false" ht="15" hidden="false" customHeight="true" outlineLevel="0" collapsed="false">
      <c r="A8" s="26" t="s">
        <v>300</v>
      </c>
      <c r="B8" s="26" t="str">
        <f aca="false">IF(ABS(Model!C42-(Model!C38+Model!C39+Model!C40+Model!C41+Drivers!C64))&lt;1,"PASS","FAIL")</f>
        <v>PASS</v>
      </c>
      <c r="C8" s="26" t="s">
        <v>301</v>
      </c>
    </row>
    <row r="9" customFormat="false" ht="15" hidden="false" customHeight="true" outlineLevel="0" collapsed="false">
      <c r="A9" s="26" t="s">
        <v>302</v>
      </c>
      <c r="B9" s="26" t="str">
        <f aca="false">IF(MIN(Drivers!B6:C10)&gt;=0,"PASS","FAIL")</f>
        <v>PASS</v>
      </c>
    </row>
    <row r="10" customFormat="false" ht="15" hidden="false" customHeight="true" outlineLevel="0" collapsed="false">
      <c r="A10" s="1" t="s">
        <v>303</v>
      </c>
      <c r="B10" s="26" t="str">
        <f aca="false">IF(AND(MIN(Drivers!B15:C16)&gt;=0,MIN(Drivers!B32:C41)&gt;=0),"PASS","FAIL")</f>
        <v>PASS</v>
      </c>
    </row>
    <row r="11" customFormat="false" ht="15" hidden="false" customHeight="true" outlineLevel="0" collapsed="false">
      <c r="A11" s="1" t="s">
        <v>304</v>
      </c>
      <c r="B11" s="26" t="str">
        <f aca="false">IF(ABS(Drivers!B18-9.8)&lt;0.005,"PASS","check inputs")</f>
        <v>PASS</v>
      </c>
    </row>
    <row r="12" customFormat="false" ht="15" hidden="false" customHeight="true" outlineLevel="0" collapsed="false">
      <c r="A12" s="1" t="s">
        <v>305</v>
      </c>
      <c r="B12" s="26" t="str">
        <f aca="false">IF(AND(ABS(Model!B13-477700)&lt;1,ABS(Model!C13-928150)&lt;1),"PASS","check inputs")</f>
        <v>PASS</v>
      </c>
    </row>
    <row r="13" customFormat="false" ht="15" hidden="false" customHeight="true" outlineLevel="0" collapsed="false">
      <c r="A13" s="1" t="s">
        <v>306</v>
      </c>
      <c r="B13" s="26" t="str">
        <f aca="false">IF(AND(ABS(Model!B18-932300)&lt;1,ABS(Model!C18-881850)&lt;1),"PASS","check inputs")</f>
        <v>PASS</v>
      </c>
    </row>
    <row r="14" customFormat="false" ht="15" hidden="false" customHeight="true" outlineLevel="0" collapsed="false">
      <c r="A14" s="26" t="s">
        <v>307</v>
      </c>
      <c r="B14" s="26" t="str">
        <f aca="false">IF(AND(ABS(Model!B42-9901000)&lt;1,ABS(Model!C42-17901000)&lt;1),"PASS","check inputs")</f>
        <v>PASS</v>
      </c>
    </row>
    <row r="15" customFormat="false" ht="15" hidden="false" customHeight="true" outlineLevel="0" collapsed="false">
      <c r="A15" s="26" t="s">
        <v>308</v>
      </c>
      <c r="B15" s="26" t="str">
        <f aca="false">IF(AND(ABS(Model!B30-111504)&lt;5,ABS(Model!B31-85598)&lt;5),"PASS","check inputs")</f>
        <v>PASS</v>
      </c>
    </row>
    <row r="16" customFormat="false" ht="15" hidden="false" customHeight="true" outlineLevel="0" collapsed="false">
      <c r="A16" s="1" t="s">
        <v>309</v>
      </c>
      <c r="B16" s="26" t="str">
        <f aca="false">"12-month gate at adopted staffing ~$1.22M vs $"&amp;TEXT(Drivers!B63,"#,##0")&amp;" carried in capital; name the difference as a campaign liquidity backstop."</f>
        <v>12-month gate at adopted staffing ~$1.22M vs $1,000,000 carried in capital; name the difference as a campaign liquidity backstop.</v>
      </c>
    </row>
    <row r="17" customFormat="false" ht="15" hidden="false" customHeight="true" outlineLevel="0" collapsed="false">
      <c r="A17" s="26" t="s">
        <v>310</v>
      </c>
      <c r="B17" s="26" t="str">
        <f aca="false">IF(AND(ABS(Model!B44-10151000)&lt;1,ABS(Model!C44-18151000)&lt;1),"PASS","check inputs")</f>
        <v>PASS</v>
      </c>
    </row>
    <row r="18" customFormat="false" ht="15" hidden="false" customHeight="true" outlineLevel="0" collapsed="false">
      <c r="A18" s="10" t="s">
        <v>311</v>
      </c>
      <c r="B18" s="10" t="str">
        <f aca="false">IF(ABS('Economic Impact'!C14*'Economic Impact'!B6-'Economic Impact'!B7)&lt;1,"PASS","FAIL")</f>
        <v>PASS</v>
      </c>
      <c r="C18" s="45" t="s">
        <v>312</v>
      </c>
    </row>
    <row r="19" customFormat="false" ht="18.75" hidden="false" customHeight="true" outlineLevel="0" collapsed="false">
      <c r="A19" s="10" t="s">
        <v>313</v>
      </c>
      <c r="B19" s="10" t="str">
        <f aca="false">IF(AND(ABS('Economic Impact'!B22-1520391)&lt;2,ABS('Economic Impact'!C22-2227341)&lt;2),"PASS","check inputs")</f>
        <v>PASS</v>
      </c>
      <c r="C19" s="45" t="s">
        <v>314</v>
      </c>
    </row>
    <row r="20" customFormat="false" ht="45.75" hidden="false" customHeight="true" outlineLevel="0" collapsed="false">
      <c r="A20" s="45" t="s">
        <v>315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20"/>
    <col collapsed="false" customWidth="true" hidden="false" outlineLevel="0" max="3" min="3" style="1" width="34"/>
    <col collapsed="false" customWidth="true" hidden="false" outlineLevel="0" max="4" min="4" style="1" width="52"/>
    <col collapsed="false" customWidth="true" hidden="false" outlineLevel="0" max="5" min="5" style="1" width="12"/>
    <col collapsed="false" customWidth="true" hidden="false" outlineLevel="0" max="6" min="6" style="1" width="26"/>
    <col collapsed="false" customWidth="true" hidden="false" outlineLevel="0" max="7" min="7" style="1" width="30"/>
  </cols>
  <sheetData>
    <row r="1" customFormat="false" ht="15" hidden="false" customHeight="true" outlineLevel="0" collapsed="false">
      <c r="A1" s="1" t="s">
        <v>316</v>
      </c>
    </row>
    <row r="3" customFormat="false" ht="15" hidden="false" customHeight="true" outlineLevel="0" collapsed="false">
      <c r="A3" s="26" t="s">
        <v>317</v>
      </c>
      <c r="B3" s="26" t="s">
        <v>318</v>
      </c>
      <c r="C3" s="26" t="s">
        <v>319</v>
      </c>
      <c r="D3" s="26" t="s">
        <v>320</v>
      </c>
      <c r="E3" s="26" t="s">
        <v>321</v>
      </c>
      <c r="F3" s="26" t="s">
        <v>291</v>
      </c>
      <c r="G3" s="26" t="s">
        <v>322</v>
      </c>
    </row>
    <row r="4" customFormat="false" ht="27.75" hidden="false" customHeight="true" outlineLevel="0" collapsed="false">
      <c r="A4" s="26" t="s">
        <v>323</v>
      </c>
      <c r="B4" s="26" t="s">
        <v>324</v>
      </c>
      <c r="C4" s="26" t="s">
        <v>325</v>
      </c>
      <c r="D4" s="26"/>
      <c r="E4" s="26" t="s">
        <v>326</v>
      </c>
      <c r="F4" s="26" t="s">
        <v>327</v>
      </c>
      <c r="G4" s="26" t="s">
        <v>328</v>
      </c>
    </row>
    <row r="5" customFormat="false" ht="15" hidden="false" customHeight="true" outlineLevel="0" collapsed="false">
      <c r="A5" s="26" t="s">
        <v>329</v>
      </c>
      <c r="B5" s="26" t="s">
        <v>330</v>
      </c>
      <c r="C5" s="26" t="s">
        <v>331</v>
      </c>
      <c r="D5" s="26"/>
      <c r="E5" s="26" t="s">
        <v>332</v>
      </c>
      <c r="F5" s="26" t="s">
        <v>327</v>
      </c>
      <c r="G5" s="26" t="s">
        <v>333</v>
      </c>
    </row>
    <row r="6" customFormat="false" ht="15" hidden="false" customHeight="true" outlineLevel="0" collapsed="false">
      <c r="A6" s="26" t="s">
        <v>334</v>
      </c>
      <c r="B6" s="26" t="s">
        <v>335</v>
      </c>
      <c r="C6" s="26" t="s">
        <v>336</v>
      </c>
      <c r="D6" s="26"/>
      <c r="E6" s="26" t="s">
        <v>332</v>
      </c>
      <c r="F6" s="26" t="s">
        <v>327</v>
      </c>
      <c r="G6" s="26" t="s">
        <v>337</v>
      </c>
    </row>
    <row r="7" customFormat="false" ht="27.75" hidden="false" customHeight="true" outlineLevel="0" collapsed="false">
      <c r="A7" s="26" t="s">
        <v>338</v>
      </c>
      <c r="B7" s="26" t="s">
        <v>339</v>
      </c>
      <c r="C7" s="26" t="s">
        <v>340</v>
      </c>
      <c r="D7" s="26"/>
      <c r="E7" s="26" t="s">
        <v>341</v>
      </c>
      <c r="F7" s="26" t="s">
        <v>327</v>
      </c>
      <c r="G7" s="26" t="s">
        <v>342</v>
      </c>
    </row>
    <row r="8" customFormat="false" ht="15" hidden="false" customHeight="true" outlineLevel="0" collapsed="false">
      <c r="A8" s="26" t="s">
        <v>343</v>
      </c>
      <c r="B8" s="26" t="s">
        <v>344</v>
      </c>
      <c r="C8" s="26" t="s">
        <v>325</v>
      </c>
      <c r="D8" s="26"/>
      <c r="E8" s="26" t="s">
        <v>341</v>
      </c>
      <c r="F8" s="26" t="s">
        <v>345</v>
      </c>
      <c r="G8" s="26" t="s">
        <v>346</v>
      </c>
    </row>
    <row r="9" customFormat="false" ht="27.75" hidden="false" customHeight="true" outlineLevel="0" collapsed="false">
      <c r="A9" s="26" t="s">
        <v>347</v>
      </c>
      <c r="B9" s="26" t="s">
        <v>348</v>
      </c>
      <c r="C9" s="26" t="s">
        <v>349</v>
      </c>
      <c r="D9" s="26" t="s">
        <v>350</v>
      </c>
      <c r="E9" s="26" t="s">
        <v>332</v>
      </c>
      <c r="F9" s="26" t="s">
        <v>351</v>
      </c>
      <c r="G9" s="26" t="s">
        <v>352</v>
      </c>
    </row>
    <row r="10" customFormat="false" ht="15" hidden="false" customHeight="true" outlineLevel="0" collapsed="false">
      <c r="A10" s="26" t="s">
        <v>353</v>
      </c>
      <c r="B10" s="26" t="s">
        <v>354</v>
      </c>
      <c r="C10" s="26" t="s">
        <v>349</v>
      </c>
      <c r="D10" s="26" t="s">
        <v>355</v>
      </c>
      <c r="E10" s="26" t="s">
        <v>332</v>
      </c>
      <c r="F10" s="26" t="s">
        <v>351</v>
      </c>
      <c r="G10" s="26" t="s">
        <v>352</v>
      </c>
    </row>
    <row r="11" customFormat="false" ht="27.75" hidden="false" customHeight="true" outlineLevel="0" collapsed="false">
      <c r="A11" s="26" t="s">
        <v>356</v>
      </c>
      <c r="B11" s="26" t="s">
        <v>357</v>
      </c>
      <c r="C11" s="26" t="s">
        <v>358</v>
      </c>
      <c r="D11" s="26" t="s">
        <v>359</v>
      </c>
      <c r="E11" s="26" t="s">
        <v>332</v>
      </c>
      <c r="F11" s="26" t="s">
        <v>360</v>
      </c>
      <c r="G11" s="26" t="s">
        <v>361</v>
      </c>
    </row>
    <row r="12" customFormat="false" ht="15" hidden="false" customHeight="true" outlineLevel="0" collapsed="false">
      <c r="A12" s="26" t="s">
        <v>362</v>
      </c>
      <c r="B12" s="26" t="s">
        <v>363</v>
      </c>
      <c r="C12" s="26" t="s">
        <v>364</v>
      </c>
      <c r="D12" s="26"/>
      <c r="E12" s="26" t="s">
        <v>341</v>
      </c>
      <c r="F12" s="26" t="s">
        <v>365</v>
      </c>
      <c r="G12" s="26" t="s">
        <v>352</v>
      </c>
    </row>
    <row r="13" customFormat="false" ht="15" hidden="false" customHeight="true" outlineLevel="0" collapsed="false">
      <c r="A13" s="26" t="s">
        <v>366</v>
      </c>
      <c r="B13" s="26" t="s">
        <v>367</v>
      </c>
      <c r="C13" s="26" t="s">
        <v>368</v>
      </c>
      <c r="D13" s="26" t="s">
        <v>369</v>
      </c>
      <c r="E13" s="26" t="s">
        <v>341</v>
      </c>
      <c r="F13" s="26" t="s">
        <v>351</v>
      </c>
      <c r="G13" s="26" t="s">
        <v>370</v>
      </c>
    </row>
    <row r="14" customFormat="false" ht="27.75" hidden="false" customHeight="true" outlineLevel="0" collapsed="false">
      <c r="A14" s="26" t="s">
        <v>371</v>
      </c>
      <c r="B14" s="26" t="s">
        <v>372</v>
      </c>
      <c r="C14" s="26" t="s">
        <v>373</v>
      </c>
      <c r="D14" s="26"/>
      <c r="E14" s="26" t="s">
        <v>332</v>
      </c>
      <c r="F14" s="26" t="s">
        <v>374</v>
      </c>
      <c r="G14" s="26" t="s">
        <v>375</v>
      </c>
    </row>
    <row r="15" customFormat="false" ht="27.75" hidden="false" customHeight="true" outlineLevel="0" collapsed="false">
      <c r="A15" s="26" t="s">
        <v>376</v>
      </c>
      <c r="B15" s="26" t="s">
        <v>377</v>
      </c>
      <c r="C15" s="26" t="s">
        <v>378</v>
      </c>
      <c r="D15" s="26"/>
      <c r="E15" s="26" t="s">
        <v>332</v>
      </c>
      <c r="F15" s="26" t="s">
        <v>360</v>
      </c>
      <c r="G15" s="26" t="s">
        <v>379</v>
      </c>
    </row>
    <row r="16" customFormat="false" ht="15" hidden="false" customHeight="true" outlineLevel="0" collapsed="false">
      <c r="A16" s="26" t="s">
        <v>380</v>
      </c>
      <c r="B16" s="26" t="s">
        <v>381</v>
      </c>
      <c r="C16" s="26" t="s">
        <v>382</v>
      </c>
      <c r="D16" s="26"/>
      <c r="E16" s="26" t="s">
        <v>341</v>
      </c>
      <c r="F16" s="26" t="s">
        <v>327</v>
      </c>
      <c r="G16" s="26" t="s">
        <v>383</v>
      </c>
    </row>
    <row r="17" customFormat="false" ht="15" hidden="false" customHeight="true" outlineLevel="0" collapsed="false">
      <c r="A17" s="26"/>
      <c r="B17" s="26"/>
      <c r="C17" s="26"/>
      <c r="D17" s="26"/>
      <c r="E17" s="26"/>
      <c r="F17" s="26"/>
      <c r="G17" s="26"/>
    </row>
    <row r="18" customFormat="false" ht="21.75" hidden="false" customHeight="true" outlineLevel="0" collapsed="false">
      <c r="A18" s="5" t="s">
        <v>384</v>
      </c>
      <c r="B18" s="54" t="s">
        <v>385</v>
      </c>
      <c r="C18" s="45" t="s">
        <v>386</v>
      </c>
      <c r="D18" s="45"/>
      <c r="E18" s="45" t="s">
        <v>387</v>
      </c>
      <c r="F18" s="45" t="s">
        <v>388</v>
      </c>
      <c r="G18" s="45" t="s">
        <v>389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2026-08-07T19:21:23Z</dcterms:created>
  <dc:creator>openpyxl</dc:creator>
  <dc:description/>
  <dc:language>en-US</dc:language>
  <cp:lastModifiedBy/>
  <dcterms:modified xsi:type="dcterms:W3CDTF">2026-08-28T15:12:02Z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