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Inputs" sheetId="2" state="visible" r:id="rId4"/>
    <sheet name="P&amp;L" sheetId="3" state="visible" r:id="rId5"/>
    <sheet name="Cash Flow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<sst xmlns="http://schemas.openxmlformats.org/spreadsheetml/2006/main" count="106" uniqueCount="89">
  <si>
    <t xml:space="preserve">NEOSHO SPACE MUSEUM · MULTI-YEAR FINANCIAL MODEL</t>
  </si>
  <si>
    <t xml:space="preserve">LLM Squared · August 2026 · companion to the feasibility studies and the single-year driver model</t>
  </si>
  <si>
    <t xml:space="preserve">What this adds</t>
  </si>
  <si>
    <t xml:space="preserve">The feasibility studies model one stabilized year. This workbook projects Year 0 (pre-opening) through Year 5: the opening-year attendance bump, the Year-2 dip, cash on hand, and, critically, what borrowing actually does to the annual support requirement.</t>
  </si>
  <si>
    <t xml:space="preserve">How to use it</t>
  </si>
  <si>
    <t xml:space="preserve">Change BLUE cells on the Inputs tab. The planetarium toggle (0 or 1) switches the entire model between the museum-only and with-planetarium programs. The debt block lets you test a USDA loan: set principal to any amount and watch Years 1-5 absorb the payment.</t>
  </si>
  <si>
    <t xml:space="preserve">Color key</t>
  </si>
  <si>
    <t xml:space="preserve">BLUE = input. BLACK = formula. GREEN = pulled from another tab. YELLOW fill = key lever. Red-tinted cells on the Cash Flow tab flag any year that ends below the 6-month cash floor.</t>
  </si>
  <si>
    <t xml:space="preserve">The headline finding</t>
  </si>
  <si>
    <t xml:space="preserve">At the adopted pricing and the adopted staffing plan (personnel $730K museum-only), with no debt and a $650K target support plan (illustrative, not pledged), even the donated-lease years run modest deficits (roughly $40K and $72K) and Years 3-5 run about $270-300K a year negative once the $180K lease begins. The opening cash cushion falls below the 6-month floor in Year 3 and is nearly exhausted by Year 5. The arithmetic message: secured support must grow toward the full $930K gap, the CID's ~$225K is necessary but not sufficient. A $3.5M USDA loan (~$218K/yr) accelerates exhaustion to Year 3. Debt only works here if support commitments cover the payment, which is why the studies gate it.</t>
  </si>
  <si>
    <t xml:space="preserve">Conventions</t>
  </si>
  <si>
    <t xml:space="preserve">Stabilized-year (Year 2) dollars; escalation defaults to 0% to match the studies, and can be set on Inputs. Year 1 is the opening year with its curiosity premium and launch marketing overlay. Year 0 shows the pre-opening burn, funded from the capital campaign's working-capital line, not from operations.</t>
  </si>
  <si>
    <t xml:space="preserve">INPUTS</t>
  </si>
  <si>
    <t xml:space="preserve">Blue = editable. The toggle in B5 switches every downstream formula between programs.</t>
  </si>
  <si>
    <t xml:space="preserve">PROGRAM TOGGLE</t>
  </si>
  <si>
    <t xml:space="preserve">Include planetarium (0 = museum only, 1 = with dome)</t>
  </si>
  <si>
    <t xml:space="preserve">Flip to 1 to model the combined program.</t>
  </si>
  <si>
    <t xml:space="preserve">ATTENDANCE BY YEAR (ANNUAL ONSITE VISITS)</t>
  </si>
  <si>
    <t xml:space="preserve">Year 0 (pre-open)</t>
  </si>
  <si>
    <t xml:space="preserve">Year 1 (opening)</t>
  </si>
  <si>
    <t xml:space="preserve">Year 2</t>
  </si>
  <si>
    <t xml:space="preserve">Year 3</t>
  </si>
  <si>
    <t xml:space="preserve">Year 4</t>
  </si>
  <si>
    <t xml:space="preserve">Year 5</t>
  </si>
  <si>
    <t xml:space="preserve">Museum-only attendance path</t>
  </si>
  <si>
    <t xml:space="preserve">Opening-year curiosity premium, Year-2 dip, gradual maturation (per the studies' ramp table).</t>
  </si>
  <si>
    <t xml:space="preserve">With-planetarium attendance path</t>
  </si>
  <si>
    <t xml:space="preserve">PER-VISIT ECONOMICS (FROM THE DRIVER MODEL)</t>
  </si>
  <si>
    <t xml:space="preserve">Realized museum yield per visit</t>
  </si>
  <si>
    <t xml:space="preserve">Adopted pricing 8 Aug 2026: $14/$8/$12; member visits at $0. See driver model Admission Mix tab.</t>
  </si>
  <si>
    <t xml:space="preserve">Retail net per visit, museum-only</t>
  </si>
  <si>
    <t xml:space="preserve">Retail net per visit, with dome</t>
  </si>
  <si>
    <t xml:space="preserve">Combo uptake rate</t>
  </si>
  <si>
    <t xml:space="preserve">Share of visits adding a show</t>
  </si>
  <si>
    <t xml:space="preserve">Combo increment per participant</t>
  </si>
  <si>
    <t xml:space="preserve">Other earned at base year, museum (programs+memberships+rentals)</t>
  </si>
  <si>
    <t xml:space="preserve">Scales with attendance ratio</t>
  </si>
  <si>
    <t xml:space="preserve">Other earned at base year, dome program</t>
  </si>
  <si>
    <t xml:space="preserve">Base-year attendance, museum / dome</t>
  </si>
  <si>
    <t xml:space="preserve">Denominators for scaling</t>
  </si>
  <si>
    <t xml:space="preserve">OPERATING COST AND SUPPORT</t>
  </si>
  <si>
    <t xml:space="preserve">Stabilized operating expense excl. lease, museum-only</t>
  </si>
  <si>
    <t xml:space="preserve">Stabilized operating expense excl. lease, with dome</t>
  </si>
  <si>
    <t xml:space="preserve">Year 1 launch marketing overlay</t>
  </si>
  <si>
    <t xml:space="preserve">Annual cost escalation from Year 2 (set 0% to match studies)</t>
  </si>
  <si>
    <t xml:space="preserve">Pre-opening (Year 0) burn</t>
  </si>
  <si>
    <t xml:space="preserve">Opening working capital (cash at start of Year 1)</t>
  </si>
  <si>
    <t xml:space="preserve">Studies' working-capital allowance; about 10 months of Year-1 cost under the adopted staffing plan. The 12-month gate implies raising this to ~$1.22M in the capital campaign.</t>
  </si>
  <si>
    <t xml:space="preserve">Target annual support by year (illustrative until appropriations or pledges are documented)</t>
  </si>
  <si>
    <t xml:space="preserve">Year 1</t>
  </si>
  <si>
    <t xml:space="preserve">The studies' gate: three years in writing before construction.</t>
  </si>
  <si>
    <t xml:space="preserve">DEBT TEST (USDA COMMUNITY FACILITIES OR SIMILAR)</t>
  </si>
  <si>
    <t xml:space="preserve">Loan principal (set 0 for no debt)</t>
  </si>
  <si>
    <t xml:space="preserve">Interest rate</t>
  </si>
  <si>
    <t xml:space="preserve">Term (years)</t>
  </si>
  <si>
    <t xml:space="preserve">Annual debt service (computed)</t>
  </si>
  <si>
    <t xml:space="preserve">Reality check: every $1M borrowed at these terms costs about $62K a year for 30 years.</t>
  </si>
  <si>
    <t xml:space="preserve">Building lease per year (NABIFI, from Year 3)</t>
  </si>
  <si>
    <t xml:space="preserve">About $15,000/month. Years 1-2 donated by NABIFI, which also covers property taxes, building insurance and general maintenance during that window; terms under negotiation.</t>
  </si>
  <si>
    <t xml:space="preserve">NABIFI-covered items during donated window (Years 1-2)</t>
  </si>
  <si>
    <t xml:space="preserve">Property taxes, building insurance and general maintenance carried by the landlord in Years 1-2; conservative estimate of the portion already inside the operating budget.</t>
  </si>
  <si>
    <t xml:space="preserve">MULTI-YEAR P&amp;L</t>
  </si>
  <si>
    <t xml:space="preserve">All formulas. Toggle and inputs live on the Inputs tab.</t>
  </si>
  <si>
    <t xml:space="preserve">Attendance</t>
  </si>
  <si>
    <t xml:space="preserve">Path chosen by toggle</t>
  </si>
  <si>
    <t xml:space="preserve">Museum admissions</t>
  </si>
  <si>
    <t xml:space="preserve">Planetarium add-on</t>
  </si>
  <si>
    <t xml:space="preserve">Retail net</t>
  </si>
  <si>
    <t xml:space="preserve">Programs, memberships, rentals</t>
  </si>
  <si>
    <t xml:space="preserve">TOTAL EARNED REVENUE</t>
  </si>
  <si>
    <t xml:space="preserve">Operating expense</t>
  </si>
  <si>
    <t xml:space="preserve">Year 0 = pre-opening burn; Year 1 adds launch overlay; Years 1-2 deduct NABIFI-covered items; lease $180K begins Year 3 (Years 1-2 donated); escalation from Year 3</t>
  </si>
  <si>
    <t xml:space="preserve">OPERATING GAP</t>
  </si>
  <si>
    <t xml:space="preserve">Target annual support (illustrative)</t>
  </si>
  <si>
    <t xml:space="preserve">Year 0 burn is funded from campaign working capital, not operations</t>
  </si>
  <si>
    <t xml:space="preserve">Debt service</t>
  </si>
  <si>
    <t xml:space="preserve">NET SURPLUS / (DEFICIT)</t>
  </si>
  <si>
    <t xml:space="preserve">Year 0 deficit equals the pre-opening burn</t>
  </si>
  <si>
    <t xml:space="preserve">Support-coverage check: target support ÷ (gap + debt service)</t>
  </si>
  <si>
    <t xml:space="preserve">CASH FLOW AND LIQUIDITY</t>
  </si>
  <si>
    <t xml:space="preserve">Red-tinted closing-cash cells fall below the 6-month floor; the studies gate construction on 12 months.</t>
  </si>
  <si>
    <t xml:space="preserve">Opening cash</t>
  </si>
  <si>
    <t xml:space="preserve">Net surplus / (deficit) for the year</t>
  </si>
  <si>
    <t xml:space="preserve">Closing cash</t>
  </si>
  <si>
    <t xml:space="preserve">Year 0 closes at zero by construction: the campaign funds the burn and delivers opening working capital.</t>
  </si>
  <si>
    <t xml:space="preserve">Months of operating cost covered</t>
  </si>
  <si>
    <t xml:space="preserve">Liquidity floor test (6 months of opex)</t>
  </si>
  <si>
    <t xml:space="preserve">Scenario notes (read me)</t>
  </si>
  <si>
    <t xml:space="preserve">With defaults (no debt; target support plan of $650/650/650/600/600K, illustrative until pledged): Years 1-2 run modest deficits (about $40K and $72K) even with the lease donated and NABIFI covering building costs, because the adopted staffing plan carries ~$210K more payroll than the prior benchmark. Years 3-5 run roughly $270-300K negative; closing cash falls from $980K to about $54K and breaches the 6-month floor in Year 3. The message: recurring support must scale toward the full gap (~$930K), with the CID flowing before the donated-lease window closes. That is the arithmetic behind the studies' gates.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</si>
</sst>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"/>
    <numFmt numFmtId="166" formatCode="#,##0"/>
    <numFmt numFmtId="167" formatCode="\$#,##0.00"/>
    <numFmt numFmtId="168" formatCode="0.0%"/>
    <numFmt numFmtId="169" formatCode="\$#,##0;&quot;($&quot;#,##0\);\-"/>
    <numFmt numFmtId="170" formatCode="0.000%"/>
    <numFmt numFmtId="171" formatCode="#,##0;[RED]\(#,##0\)"/>
    <numFmt numFmtId="172" formatCode="0%"/>
    <numFmt numFmtId="173" formatCode="0.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6233F"/>
      <name val="Arial"/>
      <family val="0"/>
      <charset val="1"/>
    </font>
    <font>
      <i val="true"/>
      <sz val="8"/>
      <color rgb="FF5C6675"/>
      <name val="Arial"/>
      <family val="0"/>
      <charset val="1"/>
    </font>
    <font>
      <b val="true"/>
      <sz val="9"/>
      <color rgb="FF16233F"/>
      <name val="Arial"/>
      <family val="0"/>
      <charset val="1"/>
    </font>
    <font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1"/>
      <color rgb="FF0000FF"/>
      <name val="Cambria"/>
      <family val="0"/>
      <charset val="1"/>
    </font>
    <font>
      <sz val="11"/>
      <color rgb="FF000000"/>
      <name val="Cambria"/>
      <family val="0"/>
      <charset val="1"/>
    </font>
    <font>
      <sz val="9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6233F"/>
        <bgColor rgb="FF003366"/>
      </patternFill>
    </fill>
    <fill>
      <patternFill patternType="solid">
        <fgColor rgb="FFFFFF00"/>
        <bgColor rgb="FFFFFF00"/>
      </patternFill>
    </fill>
    <fill>
      <patternFill patternType="solid">
        <fgColor rgb="FF33549B"/>
        <bgColor rgb="FF5C6675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9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0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3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BE4E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4E0"/>
      <rgbColor rgb="FFCCFFFF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675"/>
      <rgbColor rgb="FF969696"/>
      <rgbColor rgb="FF003366"/>
      <rgbColor rgb="FF339966"/>
      <rgbColor rgb="FF003300"/>
      <rgbColor rgb="FF333300"/>
      <rgbColor rgb="FF993300"/>
      <rgbColor rgb="FF993366"/>
      <rgbColor rgb="FF33549B"/>
      <rgbColor rgb="FF1623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110"/>
  </cols>
  <sheetData>
    <row r="2" customFormat="false" ht="17.2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5" customFormat="false" ht="31.5" hidden="false" customHeight="true" outlineLevel="0" collapsed="false">
      <c r="B5" s="4" t="s">
        <v>2</v>
      </c>
      <c r="C5" s="5" t="s">
        <v>3</v>
      </c>
    </row>
    <row r="7" customFormat="false" ht="31.5" hidden="false" customHeight="true" outlineLevel="0" collapsed="false">
      <c r="B7" s="4" t="s">
        <v>4</v>
      </c>
      <c r="C7" s="5" t="s">
        <v>5</v>
      </c>
    </row>
    <row r="9" customFormat="false" ht="31.5" hidden="false" customHeight="true" outlineLevel="0" collapsed="false">
      <c r="B9" s="4" t="s">
        <v>6</v>
      </c>
      <c r="C9" s="5" t="s">
        <v>7</v>
      </c>
    </row>
    <row r="11" customFormat="false" ht="99.75" hidden="false" customHeight="true" outlineLevel="0" collapsed="false">
      <c r="B11" s="4" t="s">
        <v>8</v>
      </c>
      <c r="C11" s="5" t="s">
        <v>9</v>
      </c>
    </row>
    <row r="13" customFormat="false" ht="60" hidden="false" customHeight="true" outlineLevel="0" collapsed="false">
      <c r="B13" s="4" t="s">
        <v>10</v>
      </c>
      <c r="C13" s="5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7" min="2" style="1" width="13"/>
    <col collapsed="false" customWidth="true" hidden="false" outlineLevel="0" max="8" min="8" style="1" width="70"/>
  </cols>
  <sheetData>
    <row r="1" customFormat="false" ht="17.25" hidden="false" customHeight="true" outlineLevel="0" collapsed="false">
      <c r="A1" s="6" t="s">
        <v>12</v>
      </c>
    </row>
    <row r="2" customFormat="false" ht="15" hidden="false" customHeight="true" outlineLevel="0" collapsed="false">
      <c r="A2" s="3" t="s">
        <v>13</v>
      </c>
    </row>
    <row r="4" customFormat="false" ht="15" hidden="false" customHeight="true" outlineLevel="0" collapsed="false">
      <c r="A4" s="7" t="s">
        <v>14</v>
      </c>
      <c r="B4" s="8"/>
      <c r="C4" s="8"/>
      <c r="D4" s="8"/>
      <c r="E4" s="8"/>
      <c r="F4" s="8"/>
      <c r="G4" s="8"/>
      <c r="H4" s="8"/>
    </row>
    <row r="5" customFormat="false" ht="15" hidden="false" customHeight="true" outlineLevel="0" collapsed="false">
      <c r="A5" s="9" t="s">
        <v>15</v>
      </c>
      <c r="B5" s="10" t="n">
        <v>0</v>
      </c>
      <c r="H5" s="11" t="s">
        <v>16</v>
      </c>
    </row>
    <row r="7" customFormat="false" ht="15" hidden="false" customHeight="true" outlineLevel="0" collapsed="false">
      <c r="A7" s="12" t="s">
        <v>17</v>
      </c>
      <c r="B7" s="8"/>
      <c r="C7" s="8"/>
      <c r="D7" s="8"/>
      <c r="E7" s="8"/>
      <c r="F7" s="8"/>
      <c r="G7" s="8"/>
      <c r="H7" s="8"/>
    </row>
    <row r="8" customFormat="false" ht="15" hidden="false" customHeight="true" outlineLevel="0" collapsed="false">
      <c r="A8" s="13"/>
      <c r="B8" s="13" t="s">
        <v>18</v>
      </c>
      <c r="C8" s="13" t="s">
        <v>19</v>
      </c>
      <c r="D8" s="13" t="s">
        <v>20</v>
      </c>
      <c r="E8" s="13" t="s">
        <v>21</v>
      </c>
      <c r="F8" s="13" t="s">
        <v>22</v>
      </c>
      <c r="G8" s="13" t="s">
        <v>23</v>
      </c>
    </row>
    <row r="9" customFormat="false" ht="15" hidden="false" customHeight="true" outlineLevel="0" collapsed="false">
      <c r="A9" s="14" t="s">
        <v>24</v>
      </c>
      <c r="B9" s="15" t="n">
        <v>0</v>
      </c>
      <c r="C9" s="15" t="n">
        <v>31900</v>
      </c>
      <c r="D9" s="15" t="n">
        <v>29000</v>
      </c>
      <c r="E9" s="15" t="n">
        <v>29870</v>
      </c>
      <c r="F9" s="15" t="n">
        <v>30885</v>
      </c>
      <c r="G9" s="15" t="n">
        <v>31900</v>
      </c>
      <c r="H9" s="3" t="s">
        <v>25</v>
      </c>
    </row>
    <row r="10" customFormat="false" ht="15" hidden="false" customHeight="true" outlineLevel="0" collapsed="false">
      <c r="A10" s="14" t="s">
        <v>26</v>
      </c>
      <c r="B10" s="15" t="n">
        <v>0</v>
      </c>
      <c r="C10" s="15" t="n">
        <v>45100</v>
      </c>
      <c r="D10" s="15" t="n">
        <v>41000</v>
      </c>
      <c r="E10" s="15" t="n">
        <v>43050</v>
      </c>
      <c r="F10" s="15" t="n">
        <v>45100</v>
      </c>
      <c r="G10" s="15" t="n">
        <v>47150</v>
      </c>
    </row>
    <row r="12" customFormat="false" ht="15" hidden="false" customHeight="true" outlineLevel="0" collapsed="false">
      <c r="A12" s="12" t="s">
        <v>27</v>
      </c>
      <c r="B12" s="8"/>
      <c r="C12" s="8"/>
      <c r="D12" s="8"/>
      <c r="E12" s="8"/>
      <c r="F12" s="8"/>
      <c r="G12" s="8"/>
      <c r="H12" s="8"/>
    </row>
    <row r="13" customFormat="false" ht="15" hidden="false" customHeight="true" outlineLevel="0" collapsed="false">
      <c r="A13" s="14" t="s">
        <v>28</v>
      </c>
      <c r="B13" s="16" t="n">
        <v>9.8</v>
      </c>
      <c r="H13" s="3" t="s">
        <v>29</v>
      </c>
    </row>
    <row r="14" customFormat="false" ht="15" hidden="false" customHeight="true" outlineLevel="0" collapsed="false">
      <c r="A14" s="14" t="s">
        <v>30</v>
      </c>
      <c r="B14" s="16" t="n">
        <v>1.5</v>
      </c>
      <c r="H14" s="11"/>
    </row>
    <row r="15" customFormat="false" ht="15" hidden="false" customHeight="true" outlineLevel="0" collapsed="false">
      <c r="A15" s="14" t="s">
        <v>31</v>
      </c>
      <c r="B15" s="16" t="n">
        <v>1.75</v>
      </c>
      <c r="H15" s="11"/>
    </row>
    <row r="16" customFormat="false" ht="15" hidden="false" customHeight="true" outlineLevel="0" collapsed="false">
      <c r="A16" s="14" t="s">
        <v>32</v>
      </c>
      <c r="B16" s="17" t="n">
        <v>0.7</v>
      </c>
      <c r="H16" s="11" t="s">
        <v>33</v>
      </c>
    </row>
    <row r="17" customFormat="false" ht="15" hidden="false" customHeight="true" outlineLevel="0" collapsed="false">
      <c r="A17" s="14" t="s">
        <v>34</v>
      </c>
      <c r="B17" s="16" t="n">
        <v>8</v>
      </c>
      <c r="H17" s="11"/>
    </row>
    <row r="18" customFormat="false" ht="15" hidden="false" customHeight="true" outlineLevel="0" collapsed="false">
      <c r="A18" s="5" t="s">
        <v>35</v>
      </c>
      <c r="B18" s="18" t="n">
        <v>150000</v>
      </c>
      <c r="H18" s="11" t="s">
        <v>36</v>
      </c>
    </row>
    <row r="19" customFormat="false" ht="15" hidden="false" customHeight="true" outlineLevel="0" collapsed="false">
      <c r="A19" s="14" t="s">
        <v>37</v>
      </c>
      <c r="B19" s="18" t="n">
        <v>225000</v>
      </c>
      <c r="H19" s="11"/>
    </row>
    <row r="20" customFormat="false" ht="15" hidden="false" customHeight="true" outlineLevel="0" collapsed="false">
      <c r="A20" s="14" t="s">
        <v>38</v>
      </c>
      <c r="B20" s="15" t="n">
        <v>29000</v>
      </c>
      <c r="C20" s="15" t="n">
        <v>41000</v>
      </c>
      <c r="H20" s="11" t="s">
        <v>39</v>
      </c>
    </row>
    <row r="22" customFormat="false" ht="15" hidden="false" customHeight="true" outlineLevel="0" collapsed="false">
      <c r="A22" s="7" t="s">
        <v>40</v>
      </c>
      <c r="B22" s="8"/>
      <c r="C22" s="8"/>
      <c r="D22" s="8"/>
      <c r="E22" s="8"/>
      <c r="F22" s="8"/>
      <c r="G22" s="8"/>
      <c r="H22" s="8"/>
    </row>
    <row r="23" customFormat="false" ht="15" hidden="false" customHeight="true" outlineLevel="0" collapsed="false">
      <c r="A23" s="5" t="s">
        <v>41</v>
      </c>
      <c r="B23" s="19" t="n">
        <v>1230000</v>
      </c>
    </row>
    <row r="24" customFormat="false" ht="15" hidden="false" customHeight="true" outlineLevel="0" collapsed="false">
      <c r="A24" s="5" t="s">
        <v>42</v>
      </c>
      <c r="B24" s="18" t="n">
        <v>1630000</v>
      </c>
    </row>
    <row r="25" customFormat="false" ht="15" hidden="false" customHeight="true" outlineLevel="0" collapsed="false">
      <c r="A25" s="14" t="s">
        <v>43</v>
      </c>
      <c r="B25" s="18" t="n">
        <v>15000</v>
      </c>
    </row>
    <row r="26" customFormat="false" ht="15" hidden="false" customHeight="true" outlineLevel="0" collapsed="false">
      <c r="A26" s="5" t="s">
        <v>44</v>
      </c>
      <c r="B26" s="17" t="n">
        <v>0</v>
      </c>
    </row>
    <row r="27" customFormat="false" ht="15" hidden="false" customHeight="true" outlineLevel="0" collapsed="false">
      <c r="A27" s="14" t="s">
        <v>45</v>
      </c>
      <c r="B27" s="18" t="n">
        <v>1000000</v>
      </c>
    </row>
    <row r="28" customFormat="false" ht="15" hidden="false" customHeight="true" outlineLevel="0" collapsed="false">
      <c r="A28" s="5" t="s">
        <v>46</v>
      </c>
      <c r="B28" s="19" t="n">
        <v>1020000</v>
      </c>
      <c r="H28" s="20" t="s">
        <v>47</v>
      </c>
    </row>
    <row r="29" customFormat="false" ht="15" hidden="false" customHeight="true" outlineLevel="0" collapsed="false">
      <c r="A29" s="9" t="s">
        <v>48</v>
      </c>
    </row>
    <row r="30" customFormat="false" ht="15" hidden="false" customHeight="true" outlineLevel="0" collapsed="false">
      <c r="B30" s="13" t="s">
        <v>49</v>
      </c>
      <c r="C30" s="13" t="s">
        <v>20</v>
      </c>
      <c r="D30" s="13" t="s">
        <v>21</v>
      </c>
      <c r="E30" s="13" t="s">
        <v>22</v>
      </c>
      <c r="F30" s="13" t="s">
        <v>23</v>
      </c>
    </row>
    <row r="31" customFormat="false" ht="15" hidden="false" customHeight="true" outlineLevel="0" collapsed="false">
      <c r="B31" s="19" t="n">
        <v>650000</v>
      </c>
      <c r="C31" s="19" t="n">
        <v>650000</v>
      </c>
      <c r="D31" s="19" t="n">
        <v>650000</v>
      </c>
      <c r="E31" s="19" t="n">
        <v>600000</v>
      </c>
      <c r="F31" s="19" t="n">
        <v>600000</v>
      </c>
      <c r="H31" s="3" t="s">
        <v>50</v>
      </c>
    </row>
    <row r="33" customFormat="false" ht="15" hidden="false" customHeight="true" outlineLevel="0" collapsed="false">
      <c r="A33" s="12" t="s">
        <v>51</v>
      </c>
      <c r="B33" s="8"/>
      <c r="C33" s="8"/>
      <c r="D33" s="8"/>
      <c r="E33" s="8"/>
      <c r="F33" s="8"/>
      <c r="G33" s="8"/>
      <c r="H33" s="8"/>
    </row>
    <row r="34" customFormat="false" ht="15" hidden="false" customHeight="true" outlineLevel="0" collapsed="false">
      <c r="A34" s="14" t="s">
        <v>52</v>
      </c>
      <c r="B34" s="19" t="n">
        <v>0</v>
      </c>
    </row>
    <row r="35" customFormat="false" ht="15" hidden="false" customHeight="true" outlineLevel="0" collapsed="false">
      <c r="A35" s="14" t="s">
        <v>53</v>
      </c>
      <c r="B35" s="21" t="n">
        <v>0.04625</v>
      </c>
    </row>
    <row r="36" customFormat="false" ht="15" hidden="false" customHeight="true" outlineLevel="0" collapsed="false">
      <c r="A36" s="14" t="s">
        <v>54</v>
      </c>
      <c r="B36" s="22" t="n">
        <v>30</v>
      </c>
    </row>
    <row r="37" customFormat="false" ht="15" hidden="false" customHeight="true" outlineLevel="0" collapsed="false">
      <c r="A37" s="4" t="s">
        <v>55</v>
      </c>
      <c r="B37" s="23" t="n">
        <f aca="false">IF(B34=0,0,-PMT(B35,B36,B34))</f>
        <v>0</v>
      </c>
      <c r="H37" s="3" t="s">
        <v>56</v>
      </c>
    </row>
    <row r="39" customFormat="false" ht="15" hidden="false" customHeight="true" outlineLevel="0" collapsed="false">
      <c r="A39" s="5" t="s">
        <v>57</v>
      </c>
      <c r="B39" s="18" t="n">
        <v>180000</v>
      </c>
      <c r="H39" s="3" t="s">
        <v>58</v>
      </c>
    </row>
    <row r="40" customFormat="false" ht="15" hidden="false" customHeight="true" outlineLevel="0" collapsed="false">
      <c r="A40" s="20" t="s">
        <v>59</v>
      </c>
      <c r="B40" s="24" t="n">
        <v>30000</v>
      </c>
      <c r="H40" s="20" t="s">
        <v>60</v>
      </c>
    </row>
  </sheetData>
  <dataValidations count="2">
    <dataValidation allowBlank="false" error="Enter 0 (museum only) or 1 (with planetarium)." errorStyle="stop" errorTitle="Invalid toggle" operator="between" showDropDown="false" showErrorMessage="true" showInputMessage="false" sqref="B5" type="list">
      <formula1>"0,1"</formula1>
      <formula2>0</formula2>
    </dataValidation>
    <dataValidation allowBlank="true" error="Value must be zero or positive." errorStyle="stop" errorTitle="Invalid input" operator="greaterThanOrEqual" showDropDown="false" showErrorMessage="true" showInputMessage="false" sqref="C9:G10 B13:B20 B23:B28 B31:F31 B34:B36 B39:B40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7" min="2" style="1" width="14"/>
    <col collapsed="false" customWidth="true" hidden="false" outlineLevel="0" max="8" min="8" style="1" width="60"/>
  </cols>
  <sheetData>
    <row r="1" customFormat="false" ht="17.25" hidden="false" customHeight="true" outlineLevel="0" collapsed="false">
      <c r="A1" s="6" t="s">
        <v>61</v>
      </c>
    </row>
    <row r="2" customFormat="false" ht="15" hidden="false" customHeight="true" outlineLevel="0" collapsed="false">
      <c r="A2" s="3" t="s">
        <v>62</v>
      </c>
    </row>
    <row r="4" customFormat="false" ht="15" hidden="false" customHeight="true" outlineLevel="0" collapsed="false">
      <c r="A4" s="13"/>
      <c r="B4" s="13" t="s">
        <v>18</v>
      </c>
      <c r="C4" s="13" t="s">
        <v>19</v>
      </c>
      <c r="D4" s="13" t="s">
        <v>20</v>
      </c>
      <c r="E4" s="13" t="s">
        <v>21</v>
      </c>
      <c r="F4" s="13" t="s">
        <v>22</v>
      </c>
      <c r="G4" s="13" t="s">
        <v>23</v>
      </c>
    </row>
    <row r="5" customFormat="false" ht="15" hidden="false" customHeight="true" outlineLevel="0" collapsed="false">
      <c r="A5" s="14" t="s">
        <v>63</v>
      </c>
      <c r="B5" s="25" t="n">
        <v>0</v>
      </c>
      <c r="C5" s="25" t="n">
        <f aca="false">IF(Inputs!$B$5=1,Inputs!C10,Inputs!C9)</f>
        <v>31900</v>
      </c>
      <c r="D5" s="25" t="n">
        <f aca="false">IF(Inputs!$B$5=1,Inputs!D10,Inputs!D9)</f>
        <v>29000</v>
      </c>
      <c r="E5" s="25" t="n">
        <f aca="false">IF(Inputs!$B$5=1,Inputs!E10,Inputs!E9)</f>
        <v>29870</v>
      </c>
      <c r="F5" s="25" t="n">
        <f aca="false">IF(Inputs!$B$5=1,Inputs!F10,Inputs!F9)</f>
        <v>30885</v>
      </c>
      <c r="G5" s="25" t="n">
        <f aca="false">IF(Inputs!$B$5=1,Inputs!G10,Inputs!G9)</f>
        <v>31900</v>
      </c>
      <c r="H5" s="11" t="s">
        <v>64</v>
      </c>
    </row>
    <row r="6" customFormat="false" ht="15" hidden="false" customHeight="true" outlineLevel="0" collapsed="false">
      <c r="A6" s="14" t="s">
        <v>65</v>
      </c>
      <c r="B6" s="26" t="n">
        <v>0</v>
      </c>
      <c r="C6" s="26" t="n">
        <f aca="false">C5*Inputs!$B$13</f>
        <v>312620</v>
      </c>
      <c r="D6" s="26" t="n">
        <f aca="false">D5*Inputs!$B$13</f>
        <v>284200</v>
      </c>
      <c r="E6" s="26" t="n">
        <f aca="false">E5*Inputs!$B$13</f>
        <v>292726</v>
      </c>
      <c r="F6" s="26" t="n">
        <f aca="false">F5*Inputs!$B$13</f>
        <v>302673</v>
      </c>
      <c r="G6" s="26" t="n">
        <f aca="false">G5*Inputs!$B$13</f>
        <v>312620</v>
      </c>
      <c r="H6" s="11"/>
    </row>
    <row r="7" customFormat="false" ht="15" hidden="false" customHeight="true" outlineLevel="0" collapsed="false">
      <c r="A7" s="14" t="s">
        <v>66</v>
      </c>
      <c r="B7" s="26" t="n">
        <v>0</v>
      </c>
      <c r="C7" s="27" t="n">
        <f aca="false">IF(Inputs!$B$5=1,C5*Inputs!$B$16*Inputs!$B$17,0)</f>
        <v>0</v>
      </c>
      <c r="D7" s="27" t="n">
        <f aca="false">IF(Inputs!$B$5=1,D5*Inputs!$B$16*Inputs!$B$17,0)</f>
        <v>0</v>
      </c>
      <c r="E7" s="27" t="n">
        <f aca="false">IF(Inputs!$B$5=1,E5*Inputs!$B$16*Inputs!$B$17,0)</f>
        <v>0</v>
      </c>
      <c r="F7" s="27" t="n">
        <f aca="false">IF(Inputs!$B$5=1,F5*Inputs!$B$16*Inputs!$B$17,0)</f>
        <v>0</v>
      </c>
      <c r="G7" s="27" t="n">
        <f aca="false">IF(Inputs!$B$5=1,G5*Inputs!$B$16*Inputs!$B$17,0)</f>
        <v>0</v>
      </c>
      <c r="H7" s="11"/>
    </row>
    <row r="8" customFormat="false" ht="15" hidden="false" customHeight="true" outlineLevel="0" collapsed="false">
      <c r="A8" s="14" t="s">
        <v>67</v>
      </c>
      <c r="B8" s="26" t="n">
        <v>0</v>
      </c>
      <c r="C8" s="27" t="n">
        <f aca="false">C5*IF(Inputs!$B$5=1,Inputs!$B$15,Inputs!$B$14)</f>
        <v>47850</v>
      </c>
      <c r="D8" s="27" t="n">
        <f aca="false">D5*IF(Inputs!$B$5=1,Inputs!$B$15,Inputs!$B$14)</f>
        <v>43500</v>
      </c>
      <c r="E8" s="27" t="n">
        <f aca="false">E5*IF(Inputs!$B$5=1,Inputs!$B$15,Inputs!$B$14)</f>
        <v>44805</v>
      </c>
      <c r="F8" s="27" t="n">
        <f aca="false">F5*IF(Inputs!$B$5=1,Inputs!$B$15,Inputs!$B$14)</f>
        <v>46327.5</v>
      </c>
      <c r="G8" s="27" t="n">
        <f aca="false">G5*IF(Inputs!$B$5=1,Inputs!$B$15,Inputs!$B$14)</f>
        <v>47850</v>
      </c>
      <c r="H8" s="11"/>
    </row>
    <row r="9" customFormat="false" ht="15" hidden="false" customHeight="true" outlineLevel="0" collapsed="false">
      <c r="A9" s="14" t="s">
        <v>68</v>
      </c>
      <c r="B9" s="26" t="n">
        <v>0</v>
      </c>
      <c r="C9" s="27" t="n">
        <f aca="false">IF(Inputs!$B$5=1,Inputs!$B$19*C5/Inputs!$C$20,Inputs!$B$18*C5/Inputs!$B$20)</f>
        <v>165000</v>
      </c>
      <c r="D9" s="27" t="n">
        <f aca="false">IF(Inputs!$B$5=1,Inputs!$B$19*D5/Inputs!$C$20,Inputs!$B$18*D5/Inputs!$B$20)</f>
        <v>150000</v>
      </c>
      <c r="E9" s="27" t="n">
        <f aca="false">IF(Inputs!$B$5=1,Inputs!$B$19*E5/Inputs!$C$20,Inputs!$B$18*E5/Inputs!$B$20)</f>
        <v>154500</v>
      </c>
      <c r="F9" s="27" t="n">
        <f aca="false">IF(Inputs!$B$5=1,Inputs!$B$19*F5/Inputs!$C$20,Inputs!$B$18*F5/Inputs!$B$20)</f>
        <v>159750</v>
      </c>
      <c r="G9" s="27" t="n">
        <f aca="false">IF(Inputs!$B$5=1,Inputs!$B$19*G5/Inputs!$C$20,Inputs!$B$18*G5/Inputs!$B$20)</f>
        <v>165000</v>
      </c>
      <c r="H9" s="11" t="s">
        <v>36</v>
      </c>
    </row>
    <row r="10" customFormat="false" ht="15" hidden="false" customHeight="true" outlineLevel="0" collapsed="false">
      <c r="A10" s="4" t="s">
        <v>69</v>
      </c>
      <c r="B10" s="23" t="n">
        <v>0</v>
      </c>
      <c r="C10" s="23" t="n">
        <f aca="false">SUM(C6:C9)</f>
        <v>525470</v>
      </c>
      <c r="D10" s="23" t="n">
        <f aca="false">SUM(D6:D9)</f>
        <v>477700</v>
      </c>
      <c r="E10" s="23" t="n">
        <f aca="false">SUM(E6:E9)</f>
        <v>492031</v>
      </c>
      <c r="F10" s="23" t="n">
        <f aca="false">SUM(F6:F9)</f>
        <v>508750.5</v>
      </c>
      <c r="G10" s="23" t="n">
        <f aca="false">SUM(G6:G9)</f>
        <v>525470</v>
      </c>
      <c r="H10" s="11"/>
    </row>
    <row r="11" customFormat="false" ht="15" hidden="false" customHeight="true" outlineLevel="0" collapsed="false">
      <c r="A11" s="14" t="s">
        <v>70</v>
      </c>
      <c r="B11" s="26" t="n">
        <f aca="false">Inputs!$B$27</f>
        <v>1000000</v>
      </c>
      <c r="C11" s="27" t="n">
        <f aca="false">(IF(Inputs!$B$5=1,Inputs!$B$24,Inputs!$B$23)+IF(1=1,Inputs!$B$25,0))*(1+Inputs!$B$26)^MAX(0,1-2)+IF(1&gt;=3,Inputs!$B$39,0)-Inputs!$B$40</f>
        <v>1215000</v>
      </c>
      <c r="D11" s="27" t="n">
        <f aca="false">(IF(Inputs!$B$5=1,Inputs!$B$24,Inputs!$B$23)+IF(2=1,Inputs!$B$25,0))*(1+Inputs!$B$26)^MAX(0,2-2)+IF(2&gt;=3,Inputs!$B$39,0)-Inputs!$B$40</f>
        <v>1200000</v>
      </c>
      <c r="E11" s="27" t="n">
        <f aca="false">(IF(Inputs!$B$5=1,Inputs!$B$24,Inputs!$B$23)+IF(3=1,Inputs!$B$25,0))*(1+Inputs!$B$26)^MAX(0,3-2)+IF(3&gt;=3,Inputs!$B$39,0)</f>
        <v>1410000</v>
      </c>
      <c r="F11" s="27" t="n">
        <f aca="false">(IF(Inputs!$B$5=1,Inputs!$B$24,Inputs!$B$23)+IF(4=1,Inputs!$B$25,0))*(1+Inputs!$B$26)^MAX(0,4-2)+IF(4&gt;=3,Inputs!$B$39,0)</f>
        <v>1410000</v>
      </c>
      <c r="G11" s="27" t="n">
        <f aca="false">(IF(Inputs!$B$5=1,Inputs!$B$24,Inputs!$B$23)+IF(5=1,Inputs!$B$25,0))*(1+Inputs!$B$26)^MAX(0,5-2)+IF(5&gt;=3,Inputs!$B$39,0)</f>
        <v>1410000</v>
      </c>
      <c r="H11" s="3" t="s">
        <v>71</v>
      </c>
    </row>
    <row r="12" customFormat="false" ht="15" hidden="false" customHeight="true" outlineLevel="0" collapsed="false">
      <c r="A12" s="4" t="s">
        <v>72</v>
      </c>
      <c r="B12" s="23" t="n">
        <f aca="false">B11-0</f>
        <v>1000000</v>
      </c>
      <c r="C12" s="23" t="n">
        <f aca="false">C11-C10</f>
        <v>689530</v>
      </c>
      <c r="D12" s="23" t="n">
        <f aca="false">D11-D10</f>
        <v>722300</v>
      </c>
      <c r="E12" s="23" t="n">
        <f aca="false">E11-E10</f>
        <v>917969</v>
      </c>
      <c r="F12" s="23" t="n">
        <f aca="false">F11-F10</f>
        <v>901249.5</v>
      </c>
      <c r="G12" s="23" t="n">
        <f aca="false">G11-G10</f>
        <v>884530</v>
      </c>
      <c r="H12" s="11"/>
    </row>
    <row r="13" customFormat="false" ht="15" hidden="false" customHeight="true" outlineLevel="0" collapsed="false">
      <c r="A13" s="14" t="s">
        <v>73</v>
      </c>
      <c r="B13" s="26" t="n">
        <f aca="false">0</f>
        <v>0</v>
      </c>
      <c r="C13" s="26" t="n">
        <f aca="false">Inputs!B31</f>
        <v>650000</v>
      </c>
      <c r="D13" s="26" t="n">
        <f aca="false">Inputs!C31</f>
        <v>650000</v>
      </c>
      <c r="E13" s="26" t="n">
        <f aca="false">Inputs!D31</f>
        <v>650000</v>
      </c>
      <c r="F13" s="26" t="n">
        <f aca="false">Inputs!E31</f>
        <v>600000</v>
      </c>
      <c r="G13" s="26" t="n">
        <f aca="false">Inputs!F31</f>
        <v>600000</v>
      </c>
      <c r="H13" s="3" t="s">
        <v>74</v>
      </c>
    </row>
    <row r="14" customFormat="false" ht="15" hidden="false" customHeight="true" outlineLevel="0" collapsed="false">
      <c r="A14" s="14" t="s">
        <v>75</v>
      </c>
      <c r="B14" s="26" t="n">
        <f aca="false">0</f>
        <v>0</v>
      </c>
      <c r="C14" s="26" t="n">
        <f aca="false">Inputs!$B$37</f>
        <v>0</v>
      </c>
      <c r="D14" s="26" t="n">
        <f aca="false">Inputs!$B$37</f>
        <v>0</v>
      </c>
      <c r="E14" s="26" t="n">
        <f aca="false">Inputs!$B$37</f>
        <v>0</v>
      </c>
      <c r="F14" s="26" t="n">
        <f aca="false">Inputs!$B$37</f>
        <v>0</v>
      </c>
      <c r="G14" s="26" t="n">
        <f aca="false">Inputs!$B$37</f>
        <v>0</v>
      </c>
      <c r="H14" s="11"/>
    </row>
    <row r="15" customFormat="false" ht="15" hidden="false" customHeight="true" outlineLevel="0" collapsed="false">
      <c r="A15" s="4" t="s">
        <v>76</v>
      </c>
      <c r="B15" s="28" t="n">
        <f aca="false">-B12</f>
        <v>-1000000</v>
      </c>
      <c r="C15" s="28" t="n">
        <f aca="false">C13-C12-C14</f>
        <v>-39530</v>
      </c>
      <c r="D15" s="28" t="n">
        <f aca="false">D13-D12-D14</f>
        <v>-72300</v>
      </c>
      <c r="E15" s="28" t="n">
        <f aca="false">E13-E12-E14</f>
        <v>-267969</v>
      </c>
      <c r="F15" s="28" t="n">
        <f aca="false">F13-F12-F14</f>
        <v>-301249.5</v>
      </c>
      <c r="G15" s="28" t="n">
        <f aca="false">G13-G12-G14</f>
        <v>-284530</v>
      </c>
      <c r="H15" s="3" t="s">
        <v>77</v>
      </c>
    </row>
    <row r="17" customFormat="false" ht="15" hidden="false" customHeight="true" outlineLevel="0" collapsed="false">
      <c r="A17" s="5" t="s">
        <v>78</v>
      </c>
      <c r="C17" s="29" t="n">
        <f aca="false">IF((C12+C14)=0,1,C13/(C12+C14))</f>
        <v>0.942671094803707</v>
      </c>
      <c r="D17" s="29" t="n">
        <f aca="false">IF((D12+D14)=0,1,D13/(D12+D14))</f>
        <v>0.899903087359823</v>
      </c>
      <c r="E17" s="29" t="n">
        <f aca="false">IF((E12+E14)=0,1,E13/(E12+E14))</f>
        <v>0.708084913542832</v>
      </c>
      <c r="F17" s="29" t="n">
        <f aca="false">IF((F12+F14)=0,1,F13/(F12+F14))</f>
        <v>0.665742394309234</v>
      </c>
      <c r="G17" s="29" t="n">
        <f aca="false">IF((G12+G14)=0,1,G13/(G12+G14))</f>
        <v>0.678326342803523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7" min="2" style="1" width="14"/>
    <col collapsed="false" customWidth="true" hidden="false" outlineLevel="0" max="8" min="8" style="1" width="48"/>
  </cols>
  <sheetData>
    <row r="1" customFormat="false" ht="17.25" hidden="false" customHeight="true" outlineLevel="0" collapsed="false">
      <c r="A1" s="6" t="s">
        <v>79</v>
      </c>
    </row>
    <row r="2" customFormat="false" ht="15" hidden="false" customHeight="true" outlineLevel="0" collapsed="false">
      <c r="A2" s="3" t="s">
        <v>80</v>
      </c>
    </row>
    <row r="4" customFormat="false" ht="15" hidden="false" customHeight="true" outlineLevel="0" collapsed="false">
      <c r="A4" s="13"/>
      <c r="B4" s="13" t="s">
        <v>18</v>
      </c>
      <c r="C4" s="13" t="s">
        <v>19</v>
      </c>
      <c r="D4" s="13" t="s">
        <v>20</v>
      </c>
      <c r="E4" s="13" t="s">
        <v>21</v>
      </c>
      <c r="F4" s="13" t="s">
        <v>22</v>
      </c>
      <c r="G4" s="13" t="s">
        <v>23</v>
      </c>
    </row>
    <row r="5" customFormat="false" ht="15" hidden="false" customHeight="true" outlineLevel="0" collapsed="false">
      <c r="A5" s="14" t="s">
        <v>81</v>
      </c>
      <c r="B5" s="26" t="n">
        <f aca="false">Inputs!$B$27</f>
        <v>1000000</v>
      </c>
      <c r="C5" s="30" t="n">
        <f aca="false">Inputs!$B$28</f>
        <v>1020000</v>
      </c>
      <c r="D5" s="26" t="n">
        <f aca="false">C7</f>
        <v>980470</v>
      </c>
      <c r="E5" s="26" t="n">
        <f aca="false">D7</f>
        <v>908170</v>
      </c>
      <c r="F5" s="26" t="n">
        <f aca="false">E7</f>
        <v>640201</v>
      </c>
      <c r="G5" s="26" t="n">
        <f aca="false">F7</f>
        <v>338951.5</v>
      </c>
    </row>
    <row r="6" customFormat="false" ht="15" hidden="false" customHeight="true" outlineLevel="0" collapsed="false">
      <c r="A6" s="14" t="s">
        <v>82</v>
      </c>
      <c r="B6" s="28" t="n">
        <f aca="false">'P&amp;L'!B15</f>
        <v>-1000000</v>
      </c>
      <c r="C6" s="28" t="n">
        <f aca="false">'P&amp;L'!C15</f>
        <v>-39530</v>
      </c>
      <c r="D6" s="28" t="n">
        <f aca="false">'P&amp;L'!D15</f>
        <v>-72300</v>
      </c>
      <c r="E6" s="28" t="n">
        <f aca="false">'P&amp;L'!E15</f>
        <v>-267969</v>
      </c>
      <c r="F6" s="28" t="n">
        <f aca="false">'P&amp;L'!F15</f>
        <v>-301249.5</v>
      </c>
      <c r="G6" s="28" t="n">
        <f aca="false">'P&amp;L'!G15</f>
        <v>-284530</v>
      </c>
    </row>
    <row r="7" customFormat="false" ht="15" hidden="false" customHeight="true" outlineLevel="0" collapsed="false">
      <c r="A7" s="4" t="s">
        <v>83</v>
      </c>
      <c r="B7" s="31" t="n">
        <f aca="false">0</f>
        <v>0</v>
      </c>
      <c r="C7" s="31" t="n">
        <f aca="false">C5+C6</f>
        <v>980470</v>
      </c>
      <c r="D7" s="31" t="n">
        <f aca="false">D5+D6</f>
        <v>908170</v>
      </c>
      <c r="E7" s="31" t="n">
        <f aca="false">E5+E6</f>
        <v>640201</v>
      </c>
      <c r="F7" s="31" t="n">
        <f aca="false">F5+F6</f>
        <v>338951.5</v>
      </c>
      <c r="G7" s="31" t="n">
        <f aca="false">G5+G6</f>
        <v>54421.5</v>
      </c>
      <c r="H7" s="3" t="s">
        <v>84</v>
      </c>
    </row>
    <row r="8" customFormat="false" ht="15" hidden="false" customHeight="true" outlineLevel="0" collapsed="false">
      <c r="A8" s="14" t="s">
        <v>85</v>
      </c>
      <c r="C8" s="32" t="n">
        <f aca="false">C7/('P&amp;L'!C11/12)</f>
        <v>9.68365432098766</v>
      </c>
      <c r="D8" s="32" t="n">
        <f aca="false">D7/('P&amp;L'!D11/12)</f>
        <v>9.0817</v>
      </c>
      <c r="E8" s="32" t="n">
        <f aca="false">E7/('P&amp;L'!E11/12)</f>
        <v>5.44851914893617</v>
      </c>
      <c r="F8" s="32" t="n">
        <f aca="false">F7/('P&amp;L'!F11/12)</f>
        <v>2.88469361702128</v>
      </c>
      <c r="G8" s="32" t="n">
        <f aca="false">G7/('P&amp;L'!G11/12)</f>
        <v>0.46316170212766</v>
      </c>
    </row>
    <row r="10" customFormat="false" ht="15" hidden="false" customHeight="true" outlineLevel="0" collapsed="false">
      <c r="A10" s="14" t="s">
        <v>86</v>
      </c>
      <c r="C10" s="33" t="str">
        <f aca="false">IF(C8&gt;=6,"OK","BELOW FLOOR")</f>
        <v>OK</v>
      </c>
      <c r="D10" s="33" t="str">
        <f aca="false">IF(D8&gt;=6,"OK","BELOW FLOOR")</f>
        <v>OK</v>
      </c>
      <c r="E10" s="33" t="str">
        <f aca="false">IF(E8&gt;=6,"OK","BELOW FLOOR")</f>
        <v>BELOW FLOOR</v>
      </c>
      <c r="F10" s="33" t="str">
        <f aca="false">IF(F8&gt;=6,"OK","BELOW FLOOR")</f>
        <v>BELOW FLOOR</v>
      </c>
      <c r="G10" s="33" t="str">
        <f aca="false">IF(G8&gt;=6,"OK","BELOW FLOOR")</f>
        <v>BELOW FLOOR</v>
      </c>
    </row>
    <row r="12" customFormat="false" ht="15" hidden="false" customHeight="true" outlineLevel="0" collapsed="false">
      <c r="A12" s="4" t="s">
        <v>87</v>
      </c>
    </row>
    <row r="13" customFormat="false" ht="109.5" hidden="false" customHeight="true" outlineLevel="0" collapsed="false">
      <c r="A13" s="34" t="s">
        <v>88</v>
      </c>
      <c r="B13" s="34"/>
      <c r="C13" s="34"/>
      <c r="D13" s="34"/>
      <c r="E13" s="34"/>
      <c r="F13" s="34"/>
      <c r="G13" s="34"/>
      <c r="H13" s="34"/>
    </row>
    <row r="14" customFormat="false" ht="15" hidden="false" customHeight="true" outlineLevel="0" collapsed="false">
      <c r="A14" s="34"/>
      <c r="B14" s="34"/>
      <c r="C14" s="34"/>
      <c r="D14" s="34"/>
      <c r="E14" s="34"/>
      <c r="F14" s="34"/>
      <c r="G14" s="34"/>
      <c r="H14" s="34"/>
    </row>
  </sheetData>
  <mergeCells count="1">
    <mergeCell ref="A13:H14"/>
  </mergeCells>
  <conditionalFormatting sqref="C7:G7">
    <cfRule type="expression" priority="2" aboveAverage="0" equalAverage="0" bottom="0" percent="0" rank="0" text="" dxfId="0">
      <formula>C7&lt;('P&amp;L'!C11/2)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2026-08-08T01:04:01Z</dcterms:created>
  <dc:creator>openpyxl</dc:creator>
  <dc:description/>
  <dc:language>en-US</dc:language>
  <cp:lastModifiedBy/>
  <dcterms:modified xsi:type="dcterms:W3CDTF">2026-08-13T22:01:45Z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